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55" yWindow="735" windowWidth="22290" windowHeight="9390"/>
  </bookViews>
  <sheets>
    <sheet name="СВОД" sheetId="1" r:id="rId1"/>
  </sheets>
  <definedNames>
    <definedName name="_xlnm._FilterDatabase" localSheetId="0" hidden="1">СВОД!$A$11:$Q$293</definedName>
    <definedName name="_xlnm.Print_Titles" localSheetId="0">СВОД!$11:$11</definedName>
    <definedName name="_xlnm.Print_Area" localSheetId="0">СВОД!$A$1:$M$302</definedName>
  </definedNames>
  <calcPr calcId="124519"/>
</workbook>
</file>

<file path=xl/calcChain.xml><?xml version="1.0" encoding="utf-8"?>
<calcChain xmlns="http://schemas.openxmlformats.org/spreadsheetml/2006/main">
  <c r="K121" i="1"/>
  <c r="J69" l="1"/>
  <c r="K148" l="1"/>
  <c r="K225"/>
  <c r="K197" l="1"/>
  <c r="K20" l="1"/>
  <c r="K17"/>
  <c r="K86"/>
  <c r="K58"/>
  <c r="K67"/>
  <c r="K84"/>
  <c r="K22" l="1"/>
  <c r="L86" l="1"/>
  <c r="K69"/>
  <c r="G219" l="1"/>
  <c r="G223"/>
  <c r="G215"/>
  <c r="G212"/>
  <c r="G208"/>
  <c r="G193"/>
  <c r="M276"/>
  <c r="L251"/>
  <c r="J139"/>
  <c r="I139"/>
  <c r="K286"/>
  <c r="M225" l="1"/>
  <c r="L225"/>
  <c r="L141" l="1"/>
  <c r="M141"/>
  <c r="K186" l="1"/>
  <c r="L121" l="1"/>
  <c r="M121"/>
  <c r="G116" l="1"/>
  <c r="K55"/>
  <c r="L55"/>
  <c r="M55"/>
  <c r="L69"/>
  <c r="M69"/>
  <c r="L60" l="1"/>
  <c r="M60"/>
  <c r="K60"/>
  <c r="M22"/>
  <c r="L14" l="1"/>
  <c r="M14"/>
  <c r="M16"/>
  <c r="L19"/>
  <c r="M19"/>
  <c r="L23" l="1"/>
  <c r="L22" s="1"/>
  <c r="K184" l="1"/>
  <c r="K183"/>
  <c r="K181" l="1"/>
  <c r="K182" l="1"/>
  <c r="K150"/>
  <c r="J117"/>
  <c r="I117"/>
  <c r="G117"/>
  <c r="K141" l="1"/>
  <c r="M136"/>
  <c r="L136"/>
  <c r="K136"/>
  <c r="L42"/>
  <c r="M42"/>
  <c r="M12" s="1"/>
  <c r="K42"/>
  <c r="I116" l="1"/>
  <c r="J116"/>
  <c r="I83"/>
  <c r="I81" s="1"/>
  <c r="J83"/>
  <c r="J81" s="1"/>
  <c r="G83"/>
  <c r="G81" s="1"/>
  <c r="J16"/>
  <c r="J12" s="1"/>
  <c r="I16"/>
  <c r="I12" s="1"/>
  <c r="G16"/>
  <c r="G12"/>
  <c r="I193" l="1"/>
  <c r="M86"/>
  <c r="J223" l="1"/>
  <c r="J222"/>
  <c r="J221"/>
  <c r="J220"/>
  <c r="J219"/>
  <c r="J218"/>
  <c r="J216"/>
  <c r="J215"/>
  <c r="I223"/>
  <c r="I222"/>
  <c r="I221"/>
  <c r="I220"/>
  <c r="I219"/>
  <c r="I218"/>
  <c r="I216"/>
  <c r="I215"/>
  <c r="J212"/>
  <c r="J211"/>
  <c r="J210"/>
  <c r="J208"/>
  <c r="J207"/>
  <c r="J206"/>
  <c r="J205"/>
  <c r="J204"/>
  <c r="I212"/>
  <c r="I211"/>
  <c r="I210"/>
  <c r="I208"/>
  <c r="I207"/>
  <c r="I206"/>
  <c r="I205"/>
  <c r="I204"/>
  <c r="G211" l="1"/>
  <c r="J60" l="1"/>
  <c r="I60"/>
  <c r="K117"/>
  <c r="K116" s="1"/>
  <c r="M51"/>
  <c r="K51"/>
  <c r="L53"/>
  <c r="M53"/>
  <c r="K53"/>
  <c r="J214" l="1"/>
  <c r="I214"/>
  <c r="I203"/>
  <c r="J203"/>
  <c r="L288"/>
  <c r="L279" s="1"/>
  <c r="M288"/>
  <c r="M279" s="1"/>
  <c r="K288"/>
  <c r="G207"/>
  <c r="G210"/>
  <c r="G205"/>
  <c r="G204"/>
  <c r="G206"/>
  <c r="G222"/>
  <c r="G220"/>
  <c r="G221"/>
  <c r="G218"/>
  <c r="G216"/>
  <c r="K214"/>
  <c r="M214"/>
  <c r="L214"/>
  <c r="G203" l="1"/>
  <c r="K279"/>
  <c r="G214"/>
  <c r="M117"/>
  <c r="L117"/>
  <c r="K203"/>
  <c r="K201" s="1"/>
  <c r="M213"/>
  <c r="M203" s="1"/>
  <c r="L213"/>
  <c r="L203" s="1"/>
  <c r="K83"/>
  <c r="M83"/>
  <c r="G201" l="1"/>
  <c r="L83"/>
  <c r="M66"/>
  <c r="L66"/>
  <c r="K66"/>
  <c r="M57"/>
  <c r="L57"/>
  <c r="K57"/>
  <c r="M47" l="1"/>
  <c r="L47"/>
  <c r="K47"/>
  <c r="L16"/>
  <c r="L12" s="1"/>
  <c r="K16"/>
  <c r="K19"/>
  <c r="L196" l="1"/>
  <c r="L193" s="1"/>
  <c r="M196"/>
  <c r="M193" s="1"/>
  <c r="K196"/>
  <c r="K193" l="1"/>
  <c r="L138"/>
  <c r="M138"/>
  <c r="K138" l="1"/>
  <c r="G167"/>
  <c r="J20" l="1"/>
  <c r="I20"/>
  <c r="G20"/>
  <c r="K14"/>
  <c r="K12" s="1"/>
  <c r="L201" l="1"/>
  <c r="M201"/>
  <c r="L81" l="1"/>
  <c r="M81"/>
  <c r="K81"/>
  <c r="K11" s="1"/>
  <c r="L116" l="1"/>
  <c r="M116"/>
  <c r="M11" s="1"/>
  <c r="M284" l="1"/>
  <c r="L284" l="1"/>
  <c r="L11" s="1"/>
</calcChain>
</file>

<file path=xl/sharedStrings.xml><?xml version="1.0" encoding="utf-8"?>
<sst xmlns="http://schemas.openxmlformats.org/spreadsheetml/2006/main" count="1809" uniqueCount="424">
  <si>
    <t>Приложение</t>
  </si>
  <si>
    <t>План реализации</t>
  </si>
  <si>
    <t>Показатель выполнения мероприятия</t>
  </si>
  <si>
    <t>Наименование показателя</t>
  </si>
  <si>
    <t>Ед. изм.</t>
  </si>
  <si>
    <t>2023 год</t>
  </si>
  <si>
    <t>Плановое значение</t>
  </si>
  <si>
    <t>Срок реализации</t>
  </si>
  <si>
    <t>3</t>
  </si>
  <si>
    <t>01</t>
  </si>
  <si>
    <t>х</t>
  </si>
  <si>
    <t>Организация библиотечного обслуживания населения комплектование и обеспечение сохранности их библиотечных фондов</t>
  </si>
  <si>
    <t>тыс. экземпляров</t>
  </si>
  <si>
    <t>единиц</t>
  </si>
  <si>
    <t>МАУК "Калининградская ЦБС"</t>
  </si>
  <si>
    <t>Количество объектов</t>
  </si>
  <si>
    <t>Количество оборудования</t>
  </si>
  <si>
    <t>Комитет по социальной политике</t>
  </si>
  <si>
    <t>03</t>
  </si>
  <si>
    <t>Число посещений муниципального музея</t>
  </si>
  <si>
    <t>тыс. человек</t>
  </si>
  <si>
    <t>Количество выставок, организованных муниципальным музеем</t>
  </si>
  <si>
    <t xml:space="preserve">Количество посетителей зоопарка </t>
  </si>
  <si>
    <t>Количество видов животных в коллекции зоопарка</t>
  </si>
  <si>
    <t>видов</t>
  </si>
  <si>
    <t>не менее 250</t>
  </si>
  <si>
    <t>МАУК "Калининградский зоопарк"</t>
  </si>
  <si>
    <t>МАУК "Музей "Фридландские ворота"</t>
  </si>
  <si>
    <t>04</t>
  </si>
  <si>
    <t>Организация и проведение концертов и концертных программ</t>
  </si>
  <si>
    <t>человек</t>
  </si>
  <si>
    <t>Создание концертов и концертных программ</t>
  </si>
  <si>
    <t>МАУК КТК "Дом искусств"</t>
  </si>
  <si>
    <t>Количество мероприятий</t>
  </si>
  <si>
    <t>05</t>
  </si>
  <si>
    <t>Организация деятельности клубных формирований и формирований самодеятельного народного творчества</t>
  </si>
  <si>
    <t>МАУ ДК "Машиностроитель"</t>
  </si>
  <si>
    <t>Оказание услуг (выполнение работ) по организации деятельности клубных формирований и формирований самодеятельного народного творчества</t>
  </si>
  <si>
    <t>МАУК ДК "Чкаловский"</t>
  </si>
  <si>
    <t>06</t>
  </si>
  <si>
    <t>Организация массовых городских мероприятий</t>
  </si>
  <si>
    <t>Количество участников и зрителей</t>
  </si>
  <si>
    <t>Организация и проведение праздничных мероприятий, посвященных торжественной встрече Нового года</t>
  </si>
  <si>
    <t>3000*</t>
  </si>
  <si>
    <t>3 000*</t>
  </si>
  <si>
    <t>Участие в организации и проведении праздничного мероприятия «День селедки»</t>
  </si>
  <si>
    <t xml:space="preserve">Количество участников и зрителей </t>
  </si>
  <si>
    <t>40 000*</t>
  </si>
  <si>
    <t>Организация и проведение торжественных мероприятий, посвященных Дню города</t>
  </si>
  <si>
    <t>Участие в организации и проведении праздничного мероприятия «Водная ассамблея»</t>
  </si>
  <si>
    <t>4000*</t>
  </si>
  <si>
    <t>Организация и проведение торжественных  мероприятий, посвященных Дню защитника Отечества</t>
  </si>
  <si>
    <t>Организация и проведение торжественных мероприятий, посвященных Международному женскому дню</t>
  </si>
  <si>
    <t>Организация и проведение торжественного мероприятия, посвященного Дню работника культуры</t>
  </si>
  <si>
    <t>Организация и проведение торжественных мероприятий, посвященных Дню штурма города-крепости Кенигсберг</t>
  </si>
  <si>
    <t>Организация и проведение торжественных мероприятий, посвященных празднованию Дня Победы</t>
  </si>
  <si>
    <t>Организация и проведение торжественных мероприятий, посвященных Дню России</t>
  </si>
  <si>
    <t>Организация и проведение торжественного мероприятия, посвященного Дню народного единства</t>
  </si>
  <si>
    <t>4 000</t>
  </si>
  <si>
    <t>07</t>
  </si>
  <si>
    <t>Сохранение, использование и популяризация объектов культурного наследия, мемориальных объектов и памятников</t>
  </si>
  <si>
    <t>Разработка проектов зон охраны объектов культурного наследия местного (муниципального) значения</t>
  </si>
  <si>
    <t>1</t>
  </si>
  <si>
    <t>08</t>
  </si>
  <si>
    <t>Обеспечение предоставления дополнительного образования детям в образовательных организациях в сфере культуры и искусства</t>
  </si>
  <si>
    <t>тыс.чел.</t>
  </si>
  <si>
    <t>Количество учащихся</t>
  </si>
  <si>
    <t>МАУ ДО "ДМШ им. Р.М. Глиэра"</t>
  </si>
  <si>
    <t>Оказание услуг в сфере дополнительного образования</t>
  </si>
  <si>
    <t>МАУ ДО "ДМШ им.Э.Т.А. Гофмана"</t>
  </si>
  <si>
    <t>МАУ ДО "ДШИ "Гармония"</t>
  </si>
  <si>
    <t>МАУ ДО ГО "Город Калининград" "ДМШ им.Д.Д. Шостаковича"</t>
  </si>
  <si>
    <t>МАУ ДО ГО "Город Калининград" "ДШИ им.Ф. Шопена"</t>
  </si>
  <si>
    <t>МАУ ДО ДМШ "Лира"</t>
  </si>
  <si>
    <t>МАУ ДО ДМШ им. Глинки М.И.</t>
  </si>
  <si>
    <t>МАУ ДО ДХШ</t>
  </si>
  <si>
    <t>МАУ ДО ДШИ им. П.И.Чайковского</t>
  </si>
  <si>
    <t>09</t>
  </si>
  <si>
    <t>Организация профессиональных конкурсов и праздничных мероприятий, творческих конкурсов, торжественных церемоний, предоставление грантов на реализацию социальных проектов</t>
  </si>
  <si>
    <t>Количество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</si>
  <si>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5</t>
  </si>
  <si>
    <t>Количество детей, получивших поддержку и обучающихся в учреждениях дополнительного образования в сфере культуры</t>
  </si>
  <si>
    <t>28</t>
  </si>
  <si>
    <t>2</t>
  </si>
  <si>
    <t>Предоставление некоммерческим организациям 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</si>
  <si>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Количество грантов</t>
  </si>
  <si>
    <t>Администрация городского округа "Город Калининград"</t>
  </si>
  <si>
    <t>6</t>
  </si>
  <si>
    <t>Выплата грантов на лучшее праздничное новогоднее оформление города</t>
  </si>
  <si>
    <t>Количество премий</t>
  </si>
  <si>
    <t>Выплата премий победителям Конкурса «Патриот Земли Российской» имени Великого князя Александра Невского</t>
  </si>
  <si>
    <t>Выплата премий победителям Конкурса «О ежегодной премии главы городского округа «Город Калининград» «Вдохновение»</t>
  </si>
  <si>
    <t>Количество стипендиатов</t>
  </si>
  <si>
    <t>Выплата стипендии главы городского округа "Город Калининград" и городского Совета депутатов Калининграда</t>
  </si>
  <si>
    <t>Организация и проведение Открытого конкурса на лучшее праздничное новогоднее оформление городского округа «Город Калининград»</t>
  </si>
  <si>
    <t>0</t>
  </si>
  <si>
    <t>2024 год</t>
  </si>
  <si>
    <t>Количество посещений муниципальных общедоступных библиотек</t>
  </si>
  <si>
    <t>Количество клубных формирований</t>
  </si>
  <si>
    <t>30</t>
  </si>
  <si>
    <t xml:space="preserve">Приобретение компьютерной техники </t>
  </si>
  <si>
    <t>м2</t>
  </si>
  <si>
    <t xml:space="preserve">Площадь территории </t>
  </si>
  <si>
    <t>Приобретение мебели</t>
  </si>
  <si>
    <t>Организация и проведение праздничных мероприятий, посвященных празднику Рождества Христова</t>
  </si>
  <si>
    <t>4</t>
  </si>
  <si>
    <t>Реконструкция объекта "Аквариум" (литер Г) под "Террариум" по адресу г. Калининград проспект Мира 26</t>
  </si>
  <si>
    <t>Оборудование системы видеонаблюдения</t>
  </si>
  <si>
    <t>Приобретение музыкального оборудования (микрофоны)</t>
  </si>
  <si>
    <t>Количество услуг</t>
  </si>
  <si>
    <t>Количество предметов мебели</t>
  </si>
  <si>
    <t>Приобретение  оборудования для проведения виртуальных прогулок (экскурсий)</t>
  </si>
  <si>
    <t>Количество учреждений</t>
  </si>
  <si>
    <t>Приобретение компьютерной и копировальной техники</t>
  </si>
  <si>
    <t>8</t>
  </si>
  <si>
    <t>799</t>
  </si>
  <si>
    <t>2553</t>
  </si>
  <si>
    <t>КГХиС</t>
  </si>
  <si>
    <t xml:space="preserve">* комитет по социальной политике учавствует в мероприятиях в части технического обеспечения </t>
  </si>
  <si>
    <t>Исполнитель:</t>
  </si>
  <si>
    <t>Количество объектов/
площадь территории</t>
  </si>
  <si>
    <t>Реконструкция вольера для лосей (литеры Г-31, Г-32, Г-33) под вольер для содержания животных по адресу г. Калининград проспект Мира 26 (строительство нового медвежатника)</t>
  </si>
  <si>
    <t>МАУ ДО ГО "Город Калининград" "ДШИ "Гармония"</t>
  </si>
  <si>
    <t>Количество работников</t>
  </si>
  <si>
    <t>Количество зрителей, посетивших показы концертных программ</t>
  </si>
  <si>
    <t>Количество созданых концертов и концертных программ</t>
  </si>
  <si>
    <t>Организация и проведение торжественного мероприятия, посвященного Дню защиты детей</t>
  </si>
  <si>
    <t>Количество объектов, на которых проведены работы по сохранению объектов культурного 
наследия местного (муниципального) значения, воинских захоронений и малых архитектурных форм, посвященных 
Великой Отечественной войне, памятников и памятных знаков,  не входящих в списки объектов культурного наследия, выполнены услуги технического надзора и для которых разработана проектно-сметная документация</t>
  </si>
  <si>
    <t>Площадь территорий, на которой проводятся работы по текущему содержанию территорий объектов культурного наследия местного (муниципального) значения в скверах и зеленых зонах 
г.Калининграда</t>
  </si>
  <si>
    <t>Количество  объектов</t>
  </si>
  <si>
    <t>Количество массовых городских мероприятий на территории города  Калининграда</t>
  </si>
  <si>
    <t>Количество учащихся муниципальных учреждений дополнительного образования детей в сфере культуры и искусства</t>
  </si>
  <si>
    <t>единиц/м2</t>
  </si>
  <si>
    <t>Количество кресел</t>
  </si>
  <si>
    <t>Организация и проведение торжественного мероприятия, посвященного Дню отца</t>
  </si>
  <si>
    <t>Организация и проведение торжественного мероприятия, посвященного Дню матери</t>
  </si>
  <si>
    <t>Организация и проведение торжественного мероприятия, посвященного Дню инвалидов</t>
  </si>
  <si>
    <t>Количество вывесок</t>
  </si>
  <si>
    <t>Приобретение зеркал настенных в хореографический зал</t>
  </si>
  <si>
    <t>Учреждения дополнительного образования</t>
  </si>
  <si>
    <t xml:space="preserve">Бочковская Юлия Владимировна </t>
  </si>
  <si>
    <t>8 (4012) 92-37-13</t>
  </si>
  <si>
    <t xml:space="preserve">Капитальный ремонт концертного зала </t>
  </si>
  <si>
    <t>Организация и проведение торжественного мероприятия "Люди труда"</t>
  </si>
  <si>
    <t>Количество документов фонда библиотек, состоящих на учете</t>
  </si>
  <si>
    <t>декабрь.
2023</t>
  </si>
  <si>
    <t>Библиотечное, библиографическое и информационное обслуживание пользователей библиотеки</t>
  </si>
  <si>
    <t>Комплектование, библиографирование и обеспечение сохранности фондов библиотек</t>
  </si>
  <si>
    <t>Материально-техническое обеспечение библиотек</t>
  </si>
  <si>
    <t>68121</t>
  </si>
  <si>
    <t>68111</t>
  </si>
  <si>
    <t>Приобретение пресс-волла</t>
  </si>
  <si>
    <t>Смартфон с "Андроидом"и камерами-про</t>
  </si>
  <si>
    <t xml:space="preserve">Техническое обследование систем канализации, водоотведения и водоснабжения (библиотека им. А.М. Горького, библиотека им. А.С. Пушкина, библиотека им. А.И. Герцена) </t>
  </si>
  <si>
    <t>Реконструкция вольера для ластоногих Калининградского зоопарка со строительством очистных сооружений по адресу пр. Мира, 26</t>
  </si>
  <si>
    <t>48252</t>
  </si>
  <si>
    <t>Сохранение и содержание зоопарка</t>
  </si>
  <si>
    <t>68211</t>
  </si>
  <si>
    <t>410</t>
  </si>
  <si>
    <t>420</t>
  </si>
  <si>
    <t>Организация публичного показа музейных предметов и музейных коллекций, коллекций диких и домашних животных, растений, формирование, учет, хранение, изучение и обеспечение сохранности музейного фонда</t>
  </si>
  <si>
    <t>Материально-техническое обеспечение зоопарка</t>
  </si>
  <si>
    <t>68221</t>
  </si>
  <si>
    <t xml:space="preserve">Реставрация скульптур </t>
  </si>
  <si>
    <t>68311</t>
  </si>
  <si>
    <t>Управление музейными коллекциями и обеспечение их хранения</t>
  </si>
  <si>
    <t>59</t>
  </si>
  <si>
    <t>60</t>
  </si>
  <si>
    <t>Материально-техническое обеспечение музеев</t>
  </si>
  <si>
    <t>68321</t>
  </si>
  <si>
    <t xml:space="preserve">Услуга по организации (аудио контент и оборудование) для проекта "Иммерсивный променад" </t>
  </si>
  <si>
    <t xml:space="preserve">Изготовление деревянных ворот с выходом на дозорную тропу </t>
  </si>
  <si>
    <t>муниципальной программы «Сохранение и развитие культуры в городском округе «Город Калининград» на 2023 год и плановый период 2024-2025 гг.</t>
  </si>
  <si>
    <t>Код основного
мероприятия муници-пальной программы</t>
  </si>
  <si>
    <t>Код нап-равления расходов</t>
  </si>
  <si>
    <t>Исполнитель мероприятия муници-
пальной программы</t>
  </si>
  <si>
    <t xml:space="preserve">Основное мероприятие муниципальной программы 
/ направление расходов / мероприятие муниципальной программы </t>
  </si>
  <si>
    <t xml:space="preserve">2024 год </t>
  </si>
  <si>
    <t>2025 год</t>
  </si>
  <si>
    <t>Сумма финансового обеспечения по годам реализации,
тыс. руб.</t>
  </si>
  <si>
    <t>68112</t>
  </si>
  <si>
    <t>S4005</t>
  </si>
  <si>
    <t>S4006</t>
  </si>
  <si>
    <t>68411</t>
  </si>
  <si>
    <t>Материально-техническое обеспечение театров</t>
  </si>
  <si>
    <t>68421</t>
  </si>
  <si>
    <t>декабрь. 2023</t>
  </si>
  <si>
    <t>Приобретение офисной техники</t>
  </si>
  <si>
    <t>18</t>
  </si>
  <si>
    <t>19</t>
  </si>
  <si>
    <t>68511</t>
  </si>
  <si>
    <t>68521</t>
  </si>
  <si>
    <t>Материально-техническое обеспечение клубных формирований</t>
  </si>
  <si>
    <t>68611</t>
  </si>
  <si>
    <t>Организация и проведение мероприятий</t>
  </si>
  <si>
    <t>январь. 2023</t>
  </si>
  <si>
    <t>март.
2023</t>
  </si>
  <si>
    <t>июль.
2023</t>
  </si>
  <si>
    <t>сентябрь.
2023</t>
  </si>
  <si>
    <t>май.
2023</t>
  </si>
  <si>
    <t>Реализация дополнительных общеразвивающих программ</t>
  </si>
  <si>
    <t>67311</t>
  </si>
  <si>
    <t>Реализация дополнительных предпрофессиональных программ в области искусств</t>
  </si>
  <si>
    <t>67312</t>
  </si>
  <si>
    <t>Материально-техническое обеспечение учреждений дополнительного образования</t>
  </si>
  <si>
    <t>67321</t>
  </si>
  <si>
    <t>Количество конкурсов и фестивалей для детей, проводимых учреждениями дополнительного образования детей в сфере культуры</t>
  </si>
  <si>
    <t>Капитальный ремонт фасада и внутренних помещений, капитальный ремонт систем водоснабжения, водоотведения и отопления, ремонт внутренних сетей электроснабжения (ул. Минина и Пожарского,4)</t>
  </si>
  <si>
    <t>Количество проектно-сметных документаций</t>
  </si>
  <si>
    <t xml:space="preserve">Количество предметов мебели </t>
  </si>
  <si>
    <t xml:space="preserve">Количество зеркал </t>
  </si>
  <si>
    <t>Изготовление вывески с названием музыкальной школы</t>
  </si>
  <si>
    <t>Ремонт помещений, гардеробной</t>
  </si>
  <si>
    <t>Благоустройство территории</t>
  </si>
  <si>
    <t>Капитальный ремонт внутренней системы водоснабжения и водоотведения, технический, авторский надзор</t>
  </si>
  <si>
    <t>Разработка проектно-сметной документации на благоустройство территории</t>
  </si>
  <si>
    <t>Капитальный ремонт систем электроснабжения, внутренних помещений,  благоустройство территории, технический, авторский надзор</t>
  </si>
  <si>
    <t>Капитальный ремонт фасада здания, технический, авторский надзор</t>
  </si>
  <si>
    <t>Капитальный ремонт систем электроснабжения, отопления, водоснабжения, водоотведения, вентиляции, видеонаблюдения, локально-вычислительной сети,  внутренних помещений,  технический, авторский надзор</t>
  </si>
  <si>
    <t>L5190</t>
  </si>
  <si>
    <t>Государственная поддержка отрасли культуры</t>
  </si>
  <si>
    <t>Приобретение интерактивного киоска</t>
  </si>
  <si>
    <t xml:space="preserve">Модернизация входной группы и установка пандуса для людей с ограниченными возможностями </t>
  </si>
  <si>
    <t>Количество киосков</t>
  </si>
  <si>
    <t>март 2023</t>
  </si>
  <si>
    <t>Организация и проведение праздничных мероприятий «Калининград встречает май»</t>
  </si>
  <si>
    <t>май 2023</t>
  </si>
  <si>
    <t>Организация и проведение торжественного мероприятия, посвященного Дню социального работника</t>
  </si>
  <si>
    <t>июнь 2023</t>
  </si>
  <si>
    <t>октябрь.
2023</t>
  </si>
  <si>
    <t>декабрь 2023</t>
  </si>
  <si>
    <t>Организация и проведение торжественного мероприятия, посвященного Дню семьи, любви и верности</t>
  </si>
  <si>
    <t>апрель 2023</t>
  </si>
  <si>
    <t>февраль.
2023</t>
  </si>
  <si>
    <t xml:space="preserve">Организация и проведение торжественной церемонии награждения лауреатов конкурса «Патриот Земли Российской» имени Великого князя Александра Невского за достижения в области патриотического воспитания»   </t>
  </si>
  <si>
    <t>Временно не распредленные средства</t>
  </si>
  <si>
    <t>декабрь. 
2023</t>
  </si>
  <si>
    <t>Количество профессиональных конкурсов и празднечных мероприятий</t>
  </si>
  <si>
    <t>ноябрь.
2023</t>
  </si>
  <si>
    <t>июнь
2023</t>
  </si>
  <si>
    <t>апрель.
2023</t>
  </si>
  <si>
    <t>Обеспечение сохранения, использования и популяризации объектов культурного наследия, мемориальных объектов и памятников</t>
  </si>
  <si>
    <t>68711</t>
  </si>
  <si>
    <t>Временно не распределенные средства</t>
  </si>
  <si>
    <t>август.
2023</t>
  </si>
  <si>
    <t>Количество премий в целях патриотического воспитания детей и молодежи</t>
  </si>
  <si>
    <t>Количество преемий в целях развития культуры и искусства</t>
  </si>
  <si>
    <t>Количество грантов на празнечное новогоднее оформление зданий и территорий</t>
  </si>
  <si>
    <t>Предоставление грантов на реализацию социальных проектов</t>
  </si>
  <si>
    <t>91134</t>
  </si>
  <si>
    <t>Гранты на праздничное новогоднее оформление зданий и территорий</t>
  </si>
  <si>
    <t>85331</t>
  </si>
  <si>
    <t>Выплата премий в целях развития культуры и искусства</t>
  </si>
  <si>
    <t>68931</t>
  </si>
  <si>
    <t>Выплата премий в целях патриотического воспитания детей и молодежи</t>
  </si>
  <si>
    <t>67733</t>
  </si>
  <si>
    <t>66539</t>
  </si>
  <si>
    <t>Организация и проведение торжественного мероприятия, посвященного 105-летию образования комиссии по делам несовершеннолетних и защите их прав</t>
  </si>
  <si>
    <t>Концертная программа в ФГБУ «1409 военно-морской клинический госпиталь» для военнослужащих, получивших ранения в ходе выполнения  специальной военной операции, в преддверии Дня Защитника Отечества</t>
  </si>
  <si>
    <t>февраль 2023</t>
  </si>
  <si>
    <t>ВСЕГО по программе:</t>
  </si>
  <si>
    <t>Осуществление капитальных вложений в объекты муниципальной собственности (Реконструкция объекта "Аквариум" (литер Г) под "Террариум" по адресу г. Калининград проспект Мира 26)</t>
  </si>
  <si>
    <t>Осуществление капитальных вложений в объекты муниципальной собственности (Реконструкция вольера для лосей(литеры Г-31, Г-32, Г-33) под вольер для содержания животных по адресу г. Калининград проспект Мира 26 (строительство нового медвежатника)</t>
  </si>
  <si>
    <t>Участие в организации и проведении мероприятия "Сказки Старого города"</t>
  </si>
  <si>
    <t>Проверка сметной документации в ГАУ КО "ЦПЭ и ЦС"</t>
  </si>
  <si>
    <t xml:space="preserve">единиц </t>
  </si>
  <si>
    <t>КГРиЦ</t>
  </si>
  <si>
    <t>Стипендии для одаренных детей и молодежи</t>
  </si>
  <si>
    <t>Количество оснащенных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</t>
  </si>
  <si>
    <t>55191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</si>
  <si>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искусств) музыкальными инструментами, оборудованием и учебными материалами)</t>
  </si>
  <si>
    <t>02</t>
  </si>
  <si>
    <t>Региональный проект "Культурная среда"</t>
  </si>
  <si>
    <t>Разработка ПСД на ремонт системы видеонаблюдения, проверка ПСД в ГАУ КО (ЦПО и ЦС). Ремонт системы видеонаблюдения</t>
  </si>
  <si>
    <t xml:space="preserve">Монтаж системы автоматической пожарной сигнализации (АПС)  и систем оповещения и управления эвакуацией ( СОУЭ) на объектах МАУК "Калининградский зоопарк" (Литер: Г21; Г22; Г23)
Замена элементов автоматической установки пожарной сигнализации на объектах МАУК "Калининградский зоопарк" (Литер: А; Г1; Г2; Г5; Г18; Г20; Г26; Г28;Г30;Г38; Г39; Г49; К; Н; С; У; Ф; Х; В1; Д; Е; О)
Ремонт, изготовление и замена пожарных лестниц на объектах МАУК "Калининградский зоопарк" (Литер: С; З) и поставка и установка противопожарных дверей на объектах МАУК "Калининградский зоопарк" (Литер: А1)
</t>
  </si>
  <si>
    <t xml:space="preserve">Приобретение и монтаж стационарного сценического комплекса </t>
  </si>
  <si>
    <t>Услуга по разработке паспорта фасадов здания  МАУК КТК "Дом искусств"</t>
  </si>
  <si>
    <t xml:space="preserve">Приобретение сценического оборудования (генератор тумана) </t>
  </si>
  <si>
    <t xml:space="preserve">Приобретение офисной техники (принтеры, МФУ, ноутбук, компьютеры в сборе) </t>
  </si>
  <si>
    <t>Организация и проведение городского фотопроекта "Родные Героев"</t>
  </si>
  <si>
    <t>Приобретение МФУ, расходных матералов</t>
  </si>
  <si>
    <t>Услуга по замене обивки стульев (перетяжка стульев)</t>
  </si>
  <si>
    <t>январь 2023</t>
  </si>
  <si>
    <t>Проведение торжественного мероприятия, посваященного чествованию молодых семей в городе Калининграде в 2023 году</t>
  </si>
  <si>
    <t xml:space="preserve">Приобретение коммутационного оборудования для локальной вычислительной сети </t>
  </si>
  <si>
    <t>Приобретение МФУ</t>
  </si>
  <si>
    <t>Приобретение телекоммуникационного оборудования</t>
  </si>
  <si>
    <t>Количество оборудование</t>
  </si>
  <si>
    <t>Количество  оборудования</t>
  </si>
  <si>
    <t xml:space="preserve">Капитальный ремонт дренажной системы и ливневой канализации, фундамента, внутренних лестничных маршей, помещений. Благоустройство территории, г.Калининград, ул.Некрасова, 16 </t>
  </si>
  <si>
    <t>74080</t>
  </si>
  <si>
    <t>Поддержка учреждений клубного типа, библиотек, музеев и работников указанных учреждений</t>
  </si>
  <si>
    <t>Денежные выплаты работникам учреждений клубного типа, библиотек, музеев</t>
  </si>
  <si>
    <t>Капитальный ремонт системы отопления в библиотеке № 20</t>
  </si>
  <si>
    <t>Капитальный ремонт  помещений библиотеки № 20</t>
  </si>
  <si>
    <t>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</t>
  </si>
  <si>
    <t>Количество клубных фомирований</t>
  </si>
  <si>
    <t>Организация мероприятия по итогам творческого вокального конкурса «Янтарная нота объединяет города»</t>
  </si>
  <si>
    <t>Проведение работ по текущему содержанию территорий объектов культурного наследия местного (муниципального) значения в скверах и зеленых зонах 
г.Калининграда</t>
  </si>
  <si>
    <t>Проведение работ по сохранению объектов культурного наследия местного (муниципального) значения, воинских захоронений и малых архитектурных форм, посвященных Великой Отечественной войне, памятников и памятных знаков, не входящих в списки объектов культурного наследия, выполнены услуги технического 
надзора и для которых разработана проектно-сметная документация</t>
  </si>
  <si>
    <t>Капитальный ремонт помещений</t>
  </si>
  <si>
    <t>Прибретение шкафа для актового зала</t>
  </si>
  <si>
    <t>Разработка проектной документации по ремонту объекта  культурного наследия местного (муниципального) значения «Здание административное», середина 30-х годов ХХ века, расположенного по адресу: г. Калининград, ул. Эпроновская, 31, архитектурно-художественная подсветка</t>
  </si>
  <si>
    <t>Установка системы экстренного оповещения  (библиотека № 18)</t>
  </si>
  <si>
    <t>Приобретение оборудования в библиотеку № 20</t>
  </si>
  <si>
    <t>Приобретение мебели в библиотеку № 20</t>
  </si>
  <si>
    <t>Приобретение вывески в библиотеку № 20</t>
  </si>
  <si>
    <t>Замена существующей звуковой системы оповещения (1 этап)</t>
  </si>
  <si>
    <t>Работы по предварительному обследованию фасада и кровли зданий и разработке проектно-сметной документации на проведение ремонта фасада и кровли (противоаварийные работы) нежилого административного здания, литер А1 и нежилого здания общественных собраний (архитектор О.В.Кукук,1911 год) литер А (объект культурного наследия местного (муниципального значения), расположенных по адресу:г.Калининград, проспект Мира,24-26</t>
  </si>
  <si>
    <t>Приобретение оборудования для обеспечения доступности услуг для инвалидов и других маломобильных групп населения</t>
  </si>
  <si>
    <t>Разработка ПСД на замену сценического оборудования в рамках капитального ремонта помещений большого зрительного (концертного) зала МАУ КТК Дом искусств</t>
  </si>
  <si>
    <t>Разработка ПСД по объекту "Капитальный ремонт МАУК КТК Дом искусств" - пристройка к зданию</t>
  </si>
  <si>
    <t xml:space="preserve">Приобретение и установка светодиодного экрана для установки на фасаде МАУК КТК Дом искусств </t>
  </si>
  <si>
    <t xml:space="preserve">Приобретение микшер </t>
  </si>
  <si>
    <t xml:space="preserve">Приобретение одежды сцены большого зрительного (концертного) зала </t>
  </si>
  <si>
    <t>Приобретение кресел для оснащения большого концертного зала после капитального ремонта</t>
  </si>
  <si>
    <t xml:space="preserve">Приобретение усилителя мощности </t>
  </si>
  <si>
    <t xml:space="preserve">В целях  обеспечения доступности услуг для инвалидов и других маломобильных групп населения приобретение телевизоров с встроенными медиоплеерами </t>
  </si>
  <si>
    <t>Изготовление информационных уличных стендов</t>
  </si>
  <si>
    <t>Приобретение компьютерной техники (ноутбук - 2 шт, компьютер - 1 шт., МФУ 2)</t>
  </si>
  <si>
    <t>Ремонт и частичную установку металлического ограждения по периметру земельного участка</t>
  </si>
  <si>
    <t>Количество стендов</t>
  </si>
  <si>
    <t>20</t>
  </si>
  <si>
    <t>Пополнение музейного фонда (приобретение  линогравюр художника А.Шевченко)</t>
  </si>
  <si>
    <t>Количество линогравюр</t>
  </si>
  <si>
    <t>32</t>
  </si>
  <si>
    <t>Расчет пожарных  рисков</t>
  </si>
  <si>
    <t>Разработка ПСД на благоустройство территории заднего двора</t>
  </si>
  <si>
    <t>Ремонт кровли</t>
  </si>
  <si>
    <t xml:space="preserve">Устройство ограждения </t>
  </si>
  <si>
    <t>Монтаж системы вилионаблюдения</t>
  </si>
  <si>
    <t>Приобретение светозвукового оборудования для городских мероприятий, проводимых в рамках муниципального задания</t>
  </si>
  <si>
    <t>14</t>
  </si>
  <si>
    <t>Замена газового котельного оборудования  (ул.Огарева, д.22)</t>
  </si>
  <si>
    <t>Закупка, монтаж и установка оборудования для детей с ограниченными возможностями</t>
  </si>
  <si>
    <t>Организация и проведение торжественных мероприятий, посвященных празднованию Дня Победы (участие в областном фестивале цветов "Цветы Победы")</t>
  </si>
  <si>
    <t>Организация и проведение торжественных мероприятий, посвященных Дню города (проведение патриотической акции "Вами гордится Калининград")</t>
  </si>
  <si>
    <t>Организация и проведение торжественных мероприятий, посвященных Дню города (проведение церемонии награждения участников и победителей конкурса по присуждению ежегодной премии главы городского округа "Город Калининград" "Вдохновение" в 2023 году)</t>
  </si>
  <si>
    <t>Организация и проведение торжественных мероприятий, посвященных Дню города (проведении концертных программ приглашенных артистов на мероприятиях, посвязщенных Дню города)</t>
  </si>
  <si>
    <t>Организация и проведение торжественного мероприятия, посвященного Дню работника культуры (проведение просмотра кинофильма )</t>
  </si>
  <si>
    <t>Количество комплектов</t>
  </si>
  <si>
    <t xml:space="preserve">Количество предметов </t>
  </si>
  <si>
    <t xml:space="preserve">Услуга по установке устройств самозакрывания дверей и уплотнений в притворах </t>
  </si>
  <si>
    <t xml:space="preserve">Оборудование объекта (территории) системами экстренного оповещения работников и посетителей объекта (территории) о потенциальной угрозе возникновения или о возникновении чрезвычайной ситуации </t>
  </si>
  <si>
    <t>Благоустройство территории, устройство наружного освещения, видеонаблюдения, технический, авторский надзор.</t>
  </si>
  <si>
    <t>Техническое и аварийное обслуживание  мемориалов «Вечный огнь»</t>
  </si>
  <si>
    <t>июль
 2023</t>
  </si>
  <si>
    <t>18/
43888,00</t>
  </si>
  <si>
    <t>Приобретение экрана настенного</t>
  </si>
  <si>
    <t xml:space="preserve">Приобретение звукового оборудования в целях технического оснащения стационарного сценического комплекса </t>
  </si>
  <si>
    <t>Количество комплектов оборудования</t>
  </si>
  <si>
    <t>Выполнение выборочного строительно-технического обследования здания</t>
  </si>
  <si>
    <t>Разработка проекта по прокладке и подключению электропитания LED- ЭКРАНА</t>
  </si>
  <si>
    <t>Прокладка кабеля электропитания LED- ЭКРАНА</t>
  </si>
  <si>
    <t xml:space="preserve">Изготовление проектно-сметной документации на модернизацию входной группы и установку пандуса. Расчет тепловой нагрузки для подключения к системе теплоснабжения.Обследование здания, разработка проектно-сметной документации на капитальный ремонт здания по ул.Карташева, 105.  Подключение (технологическое присоединение) к системе теплоснабжения. Разработка проектной документации на устройство контура заземления здания по ул. Карташева, 111 </t>
  </si>
  <si>
    <t>Благоустройство территории, капитальный ремонт охранной сигнализации, системы пожарной сигнализации и СОУЭ, систем безопасности и локальной вычислительной сети монтаж системы видеодомофонизации (ул.Минина и Пожарского, 4)</t>
  </si>
  <si>
    <t>Услуги по конструктивной огнезащитной обработке деревянных конструкций на 3-м этаже здания МАУ ДО "ДМШ им. Р.М.Глиэра" по ул.Минина и Пожарского, 4</t>
  </si>
  <si>
    <t>Комплекс мероприятий по восстановлению всего деревянного покрытия и восстановлению утраченных элементов лестницы</t>
  </si>
  <si>
    <t>Капитальный ремонт отмостки, приямков, козырьков над входами</t>
  </si>
  <si>
    <t>Благоустройство территории (ограждение)</t>
  </si>
  <si>
    <t>Оказание услуг по техническому обслуживанию здания (аварийный ремонт кровли), ул.Огарева, 22.</t>
  </si>
  <si>
    <t>Изготовление технической документации для внесения изменений в ЕГРН (ул. Тельмана,48, ул. Некрасова,16)</t>
  </si>
  <si>
    <t>Закупка  и установка оборудования и расходных материалов  системы АУП</t>
  </si>
  <si>
    <t>Приобретение светодиодных светильников, ламп</t>
  </si>
  <si>
    <t>Количество светильников</t>
  </si>
  <si>
    <t>Ремонт фундамента, устройство гидроизоляции, пристенного дренажа, отмостки</t>
  </si>
  <si>
    <t xml:space="preserve">Приобретение столов ученических  на металлическом каркасе складных </t>
  </si>
  <si>
    <t>Проверка сметной документации на архитектурно-художественную подсветку здания в ГАУ КО "ЦПЭ и ЦС"</t>
  </si>
  <si>
    <t>Приобретение 4-х комплектов штор для актового зала</t>
  </si>
  <si>
    <t>Ремонт системы видеонаблюдения библиотеки № 11</t>
  </si>
  <si>
    <t>Приобретение проектора  и веб-камеры</t>
  </si>
  <si>
    <t xml:space="preserve">Приобретение мебели </t>
  </si>
  <si>
    <t>Капитальный ремонт нежилого здания Литера С на объекте - Калининградский зоопарк по адресу: г. Калининград, пр.Мира 26</t>
  </si>
  <si>
    <t xml:space="preserve">Разработка ПСД на ремонт кровли правого крыла Фридландских ворот </t>
  </si>
  <si>
    <t>Капитальный ремонт фасада, крылец здания, освещение фасада здания, помещения большого зрительного (концертного) зала в здании МАУК КТК "Дом искусств", авторский надзор, строительный контроль. Корректировка  проектной документации, проверка сметной документации в ГАУ КО "ЦПЭи ЦС", ремонт клумб, ремонт кровли козырька, строительный контроль</t>
  </si>
  <si>
    <t>Ремонт системы внутреннего противопожарного водопровода на сцене большого зрительного (концертного) зала</t>
  </si>
  <si>
    <t>Капитальный ремонт пристройки</t>
  </si>
  <si>
    <t>Приобретение светодиодных прожекторов (с полным вращением, заливного света)</t>
  </si>
  <si>
    <t>Разработка ПСД на капитальный ремонт малого зала</t>
  </si>
  <si>
    <t>Разработка ПСД на замену сценического оборудования в рамках капитального ремонта помещений большого зрительного (концертного) зала МАУК КТК "Дом искусств"</t>
  </si>
  <si>
    <t xml:space="preserve">Приобретение комплекта портьер </t>
  </si>
  <si>
    <t>Приобретение комплектов коммутации для световых приборов большого зала (кабель, сплитер, разъем)</t>
  </si>
  <si>
    <t>Приобретение гримерных столиков</t>
  </si>
  <si>
    <t>Количество столиков</t>
  </si>
  <si>
    <t>Приобретение материалов для светодиодного освещения проходов большого зала</t>
  </si>
  <si>
    <t>Количество проектов</t>
  </si>
  <si>
    <t>Устройство системы ливневой канализации, дренажа, ремонт фундамента, благоустройство территории, корректировка проектно-сметной документации, разработка проектной документации на освещение территории, выполнение работ по освещению территории,изготовление инженерно-топографического плана, определение точек границ земельного участка, испытание плит бетонных тротуарных на прочность</t>
  </si>
  <si>
    <t>Устройство козырьков, навесов, лестничного марша</t>
  </si>
  <si>
    <t>Приобретение LED-экрана с установкой</t>
  </si>
  <si>
    <t>Организация и проведение торжественной Церемонии награждения стипендиатов городского округа «Город Калининград» – одаренных детей - учащихся муниципальных детских музыкальных школ, школ искусств, художественной школы городского округа "Город Калининград" в 2023 году</t>
  </si>
  <si>
    <t xml:space="preserve">Организация и проведение Церемонии посвящения в  стипендиаты городского округа «Город Калининград» </t>
  </si>
  <si>
    <t>ноябрь 2023-март 2024</t>
  </si>
  <si>
    <t>Организация и проведение торжественных мероприятий, посвященных Дню города (проведение церемонии чествования ветеранов становления " г. Калининграда")</t>
  </si>
  <si>
    <t xml:space="preserve">Фонд оплаты труда (41 189,00 х 2 х 12 х 1,302) </t>
  </si>
  <si>
    <t>Организация и проведение церемонии награждения по итогам спортивного года "За физическое и нравственное здоровье нации"</t>
  </si>
  <si>
    <t>Ремонт фундамента, устройство гидроизоляции, пристенного дренажа, благоустройство территории</t>
  </si>
  <si>
    <t>Приобретение компьютера в сборе с ПО</t>
  </si>
  <si>
    <t>Работы по сохранению объекта культурного наследия регионального значения  «Дом директора Хуфенской гимназии», 1915 год,  г.Калининград, проспект Мира, д. 28 (капитальный ремонт дренажной системы и ливневой канализации с устройством гидроизоляции стен подвала здания). Технический, авторский надзор. Корректировка проектно-сметной документации.</t>
  </si>
  <si>
    <t>Приобретение дверей с установкой</t>
  </si>
  <si>
    <t>Количество дверей</t>
  </si>
  <si>
    <t>Приобретение ламп и светильников с установкой</t>
  </si>
  <si>
    <t>Приобретение видеорегистратора и жесткого диска с установкой</t>
  </si>
  <si>
    <t>Приобретение ноутбуков, компьтерных мышек</t>
  </si>
  <si>
    <t>Корректировка проектной документации по объекту:  Ремонт системы отопления и сетей электроснабжения объекта культурного наследия "Здание административное" МАУ ДО ДШИ им. П.И. Чайковского, расположенного по адресу: г. Кадлининград, ул. Эпроновская, д.31</t>
  </si>
  <si>
    <t>Разработка проектной документации по сохранению объекта культурного наследия местного (муниципального) значения "Здание административное", середина 30-х годов ХХ века, расположенного по адресу: г. Калининград, ул. Эпроновская,  д.31, (капитальный ремонт помещений, внутренних систем водоснабжения, водоотведения, вентиляции, наружной бытовой канализации)</t>
  </si>
  <si>
    <t>январь 2024</t>
  </si>
  <si>
    <t>Организация и проведение праздника Рождества Христова в 2023 году в Калининградской епархии Русской Православной Церкви</t>
  </si>
  <si>
    <t>Организация и проведение торжественных мероприятий, посвященных Дню города (проведение церемонии чествования ветеранов-строителей города Калининграда)</t>
  </si>
  <si>
    <t xml:space="preserve">Организация и проведение праздника Рождества Христова в 2024 году в Калининградской епархии Русской Православной Церкви </t>
  </si>
  <si>
    <t>Организация и проведение торжественных мероприятий, посвященных Дню города (проведение литературно-театрального фестиваля "Калининградцы памяти верны!")</t>
  </si>
  <si>
    <t>Организация и проведение торжественного мероприятия, посвященного 80-летию разгрома советскими войсками немецко-фашистских войск в Сталинградской битве</t>
  </si>
  <si>
    <t>Организация и проведение торжественного мероприятия, посвященного Международному дню пожилых людей</t>
  </si>
  <si>
    <t>Организация и проведение мероприятия, посвященного Дню опекуна</t>
  </si>
  <si>
    <t>Организация и проведение мероприятий, посвященного Дню Героев Отечества</t>
  </si>
  <si>
    <t>Приобретение рольставней и двери с установкой</t>
  </si>
  <si>
    <t>10</t>
  </si>
  <si>
    <t>Капитальный ремонт помещений (ул.Минина и Пожарского, 4), разработка ПСД, замена АПС и СОУЭ с вышедшим сроком эксплуатации (Ул.Огарева, 22)</t>
  </si>
  <si>
    <t>Сохранение объекта культурного наследия регионального значения "Здание народной школы имени Оттокара", 1890-1900 годы. Капитальный ремонт дренажной системы и ливневой канализации с устройством гидроизоляции стен подвала здания, благоустройство территории, устройство наружного освещения, видеонаблюдения МАУ ДО ГО "Город Калининград" "ДШИ им. Ф. Шопена", по адресу г. Калининград, ул. Горького, 113</t>
  </si>
  <si>
    <t>Проверка сметной документации на капитальный ремонт фасада здания в ГАУ КО "ЦПЭ и ЦС"</t>
  </si>
  <si>
    <t>Ремонт ограждения ул.Некрасова,16, устройство приточно-вытяжной вентиляции  ул. Некрасова,16, оказание услуг по техническому обслуживанию здания (аварийный ремонт дымовой трубы)  ул. Некрасова,16, монтаж системы АПС и СОУЭ для здания по адресу: ул. Тельмана, 48, технический надзор</t>
  </si>
  <si>
    <t>Разработка ПСД на монтаж системы АПС и СОУЭ для здания по адресу: ул. Тельмана, 48</t>
  </si>
  <si>
    <t xml:space="preserve">Заместитель начальника управления спорта, молодежной политики и культуры, 
начальник отдела культуры комитета по социальной политике                                                                                       </t>
  </si>
  <si>
    <t xml:space="preserve">   А.А. Шарафеева</t>
  </si>
  <si>
    <t xml:space="preserve"> к приказу комитета по социальной политике
от 29.12.2023 № п-КпСП-2204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</si>
</sst>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277">
    <xf numFmtId="0" fontId="0" fillId="0" borderId="0" xfId="0"/>
    <xf numFmtId="0" fontId="1" fillId="0" borderId="0" xfId="0" applyFont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wrapText="1"/>
    </xf>
    <xf numFmtId="49" fontId="1" fillId="0" borderId="9" xfId="0" applyNumberFormat="1" applyFont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3" fontId="1" fillId="3" borderId="9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Continuous" vertical="center" wrapText="1"/>
    </xf>
    <xf numFmtId="0" fontId="9" fillId="0" borderId="9" xfId="0" applyFont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4" fontId="3" fillId="4" borderId="9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 wrapText="1"/>
    </xf>
    <xf numFmtId="3" fontId="3" fillId="4" borderId="9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left" vertical="center" wrapText="1"/>
    </xf>
    <xf numFmtId="49" fontId="10" fillId="2" borderId="9" xfId="0" applyNumberFormat="1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horizontal="left" vertical="center" wrapText="1"/>
    </xf>
    <xf numFmtId="4" fontId="3" fillId="5" borderId="9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wrapText="1"/>
    </xf>
    <xf numFmtId="49" fontId="3" fillId="5" borderId="9" xfId="0" applyNumberFormat="1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center" vertical="center" wrapText="1"/>
    </xf>
    <xf numFmtId="3" fontId="3" fillId="5" borderId="9" xfId="0" applyNumberFormat="1" applyFont="1" applyFill="1" applyBorder="1" applyAlignment="1">
      <alignment horizontal="center" vertical="center" wrapText="1"/>
    </xf>
    <xf numFmtId="49" fontId="3" fillId="5" borderId="9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164" fontId="3" fillId="5" borderId="9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vertical="center" wrapText="1"/>
    </xf>
    <xf numFmtId="0" fontId="3" fillId="5" borderId="9" xfId="0" applyFont="1" applyFill="1" applyBorder="1" applyAlignment="1">
      <alignment horizontal="center" wrapText="1"/>
    </xf>
    <xf numFmtId="0" fontId="3" fillId="5" borderId="0" xfId="0" applyFont="1" applyFill="1" applyAlignment="1">
      <alignment wrapText="1"/>
    </xf>
    <xf numFmtId="0" fontId="3" fillId="5" borderId="9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center" wrapText="1"/>
    </xf>
    <xf numFmtId="0" fontId="6" fillId="5" borderId="9" xfId="0" applyFont="1" applyFill="1" applyBorder="1" applyAlignment="1">
      <alignment horizontal="left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49" fontId="3" fillId="7" borderId="9" xfId="0" applyNumberFormat="1" applyFont="1" applyFill="1" applyBorder="1" applyAlignment="1">
      <alignment horizontal="center" wrapText="1"/>
    </xf>
    <xf numFmtId="49" fontId="3" fillId="7" borderId="4" xfId="0" applyNumberFormat="1" applyFont="1" applyFill="1" applyBorder="1" applyAlignment="1">
      <alignment horizontal="center" wrapText="1"/>
    </xf>
    <xf numFmtId="0" fontId="3" fillId="7" borderId="9" xfId="0" applyFont="1" applyFill="1" applyBorder="1" applyAlignment="1">
      <alignment horizontal="center" wrapText="1"/>
    </xf>
    <xf numFmtId="4" fontId="3" fillId="7" borderId="9" xfId="0" applyNumberFormat="1" applyFont="1" applyFill="1" applyBorder="1" applyAlignment="1">
      <alignment horizont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center" vertical="center" wrapText="1"/>
    </xf>
    <xf numFmtId="49" fontId="1" fillId="5" borderId="9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3" borderId="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Fill="1" applyBorder="1" applyAlignment="1">
      <alignment wrapText="1"/>
    </xf>
    <xf numFmtId="0" fontId="1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4" fillId="4" borderId="9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3" fontId="1" fillId="3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4" fontId="1" fillId="3" borderId="9" xfId="0" applyNumberFormat="1" applyFont="1" applyFill="1" applyBorder="1" applyAlignment="1">
      <alignment horizontal="center" vertical="center" wrapText="1"/>
    </xf>
    <xf numFmtId="3" fontId="1" fillId="5" borderId="9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1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9"/>
  <sheetViews>
    <sheetView tabSelected="1" view="pageBreakPreview" topLeftCell="A28" zoomScale="80" zoomScaleNormal="90" zoomScaleSheetLayoutView="80" zoomScalePageLayoutView="70" workbookViewId="0">
      <selection activeCell="D7" sqref="D7:D9"/>
    </sheetView>
  </sheetViews>
  <sheetFormatPr defaultColWidth="8.85546875" defaultRowHeight="15.75" outlineLevelCol="1"/>
  <cols>
    <col min="1" max="1" width="12.5703125" style="1" customWidth="1"/>
    <col min="2" max="2" width="10.7109375" style="1" customWidth="1"/>
    <col min="3" max="3" width="29.42578125" style="160" customWidth="1"/>
    <col min="4" max="4" width="56" style="1" customWidth="1"/>
    <col min="5" max="5" width="46.5703125" style="1" customWidth="1"/>
    <col min="6" max="6" width="13.85546875" style="1" customWidth="1"/>
    <col min="7" max="7" width="20.5703125" style="1" customWidth="1"/>
    <col min="8" max="10" width="13.140625" style="1" customWidth="1"/>
    <col min="11" max="11" width="22.85546875" style="1" customWidth="1"/>
    <col min="12" max="12" width="15.28515625" style="1" customWidth="1" outlineLevel="1"/>
    <col min="13" max="13" width="16.42578125" style="1" customWidth="1" outlineLevel="1"/>
    <col min="14" max="14" width="25.28515625" style="1" customWidth="1"/>
    <col min="15" max="15" width="16.85546875" style="1" bestFit="1" customWidth="1"/>
    <col min="16" max="16384" width="8.85546875" style="1"/>
  </cols>
  <sheetData>
    <row r="1" spans="1:13">
      <c r="K1" s="1" t="s">
        <v>0</v>
      </c>
    </row>
    <row r="2" spans="1:13">
      <c r="J2" s="245" t="s">
        <v>423</v>
      </c>
      <c r="K2" s="245"/>
      <c r="L2" s="245"/>
    </row>
    <row r="3" spans="1:13">
      <c r="H3" s="30"/>
      <c r="I3" s="30"/>
      <c r="J3" s="245"/>
      <c r="K3" s="245"/>
      <c r="L3" s="245"/>
    </row>
    <row r="4" spans="1:13" ht="30" customHeight="1">
      <c r="A4" s="247" t="s">
        <v>1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</row>
    <row r="5" spans="1:13" ht="18.75">
      <c r="A5" s="247" t="s">
        <v>172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</row>
    <row r="7" spans="1:13">
      <c r="A7" s="248" t="s">
        <v>173</v>
      </c>
      <c r="B7" s="249" t="s">
        <v>174</v>
      </c>
      <c r="C7" s="252" t="s">
        <v>175</v>
      </c>
      <c r="D7" s="252" t="s">
        <v>176</v>
      </c>
      <c r="E7" s="255" t="s">
        <v>2</v>
      </c>
      <c r="F7" s="256"/>
      <c r="G7" s="256"/>
      <c r="H7" s="256"/>
      <c r="I7" s="256"/>
      <c r="J7" s="257"/>
      <c r="K7" s="248" t="s">
        <v>179</v>
      </c>
      <c r="L7" s="248"/>
      <c r="M7" s="248"/>
    </row>
    <row r="8" spans="1:13">
      <c r="A8" s="248"/>
      <c r="B8" s="250"/>
      <c r="C8" s="253"/>
      <c r="D8" s="253"/>
      <c r="E8" s="252" t="s">
        <v>3</v>
      </c>
      <c r="F8" s="252" t="s">
        <v>4</v>
      </c>
      <c r="G8" s="255" t="s">
        <v>5</v>
      </c>
      <c r="H8" s="257"/>
      <c r="I8" s="55" t="s">
        <v>177</v>
      </c>
      <c r="J8" s="56" t="s">
        <v>178</v>
      </c>
      <c r="K8" s="248"/>
      <c r="L8" s="248"/>
      <c r="M8" s="248"/>
    </row>
    <row r="9" spans="1:13" ht="30">
      <c r="A9" s="248"/>
      <c r="B9" s="251"/>
      <c r="C9" s="254"/>
      <c r="D9" s="254"/>
      <c r="E9" s="254"/>
      <c r="F9" s="254"/>
      <c r="G9" s="57" t="s">
        <v>6</v>
      </c>
      <c r="H9" s="57" t="s">
        <v>7</v>
      </c>
      <c r="I9" s="57"/>
      <c r="J9" s="57"/>
      <c r="K9" s="100" t="s">
        <v>5</v>
      </c>
      <c r="L9" s="100" t="s">
        <v>96</v>
      </c>
      <c r="M9" s="100" t="s">
        <v>178</v>
      </c>
    </row>
    <row r="10" spans="1:13" ht="17.25" customHeight="1">
      <c r="A10" s="3">
        <v>1</v>
      </c>
      <c r="B10" s="28">
        <v>2</v>
      </c>
      <c r="C10" s="3" t="s">
        <v>8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5">
        <v>12</v>
      </c>
      <c r="M10" s="5">
        <v>13</v>
      </c>
    </row>
    <row r="11" spans="1:13">
      <c r="A11" s="123" t="s">
        <v>10</v>
      </c>
      <c r="B11" s="124" t="s">
        <v>10</v>
      </c>
      <c r="C11" s="123" t="s">
        <v>10</v>
      </c>
      <c r="D11" s="125" t="s">
        <v>260</v>
      </c>
      <c r="E11" s="125" t="s">
        <v>10</v>
      </c>
      <c r="F11" s="125" t="s">
        <v>10</v>
      </c>
      <c r="G11" s="125" t="s">
        <v>10</v>
      </c>
      <c r="H11" s="125" t="s">
        <v>10</v>
      </c>
      <c r="I11" s="125" t="s">
        <v>10</v>
      </c>
      <c r="J11" s="125" t="s">
        <v>10</v>
      </c>
      <c r="K11" s="126">
        <f>K12+K47+K81+K116+K138+K193+K201+K279+K44</f>
        <v>1034120.625</v>
      </c>
      <c r="L11" s="126">
        <f>L12+L47+L81+L116+L138+L193+L201+L279</f>
        <v>1112719.74</v>
      </c>
      <c r="M11" s="126">
        <f>M12+M47+M81+M116+M138+M193+M201+M279</f>
        <v>1062232.1000000001</v>
      </c>
    </row>
    <row r="12" spans="1:13" ht="31.5">
      <c r="A12" s="258" t="s">
        <v>9</v>
      </c>
      <c r="B12" s="263" t="s">
        <v>10</v>
      </c>
      <c r="C12" s="259" t="s">
        <v>10</v>
      </c>
      <c r="D12" s="260" t="s">
        <v>11</v>
      </c>
      <c r="E12" s="103" t="s">
        <v>97</v>
      </c>
      <c r="F12" s="77" t="s">
        <v>13</v>
      </c>
      <c r="G12" s="82">
        <f>G17</f>
        <v>806500</v>
      </c>
      <c r="H12" s="77" t="s">
        <v>10</v>
      </c>
      <c r="I12" s="82">
        <f>I16</f>
        <v>808500</v>
      </c>
      <c r="J12" s="82">
        <f>J16</f>
        <v>810500</v>
      </c>
      <c r="K12" s="246">
        <f>K14+K16+K19+K22+K42</f>
        <v>149553.27000000002</v>
      </c>
      <c r="L12" s="246">
        <f t="shared" ref="L12:M12" si="0">L14+L16+L19+L22+L42</f>
        <v>155276.31000000003</v>
      </c>
      <c r="M12" s="246">
        <f t="shared" si="0"/>
        <v>155458.36000000002</v>
      </c>
    </row>
    <row r="13" spans="1:13" ht="31.5">
      <c r="A13" s="259"/>
      <c r="B13" s="264"/>
      <c r="C13" s="262"/>
      <c r="D13" s="261"/>
      <c r="E13" s="104" t="s">
        <v>144</v>
      </c>
      <c r="F13" s="77" t="s">
        <v>12</v>
      </c>
      <c r="G13" s="105">
        <v>600</v>
      </c>
      <c r="H13" s="105" t="s">
        <v>10</v>
      </c>
      <c r="I13" s="106">
        <v>600</v>
      </c>
      <c r="J13" s="106">
        <v>600</v>
      </c>
      <c r="K13" s="230"/>
      <c r="L13" s="230"/>
      <c r="M13" s="230"/>
    </row>
    <row r="14" spans="1:13" s="67" customFormat="1">
      <c r="A14" s="72" t="s">
        <v>9</v>
      </c>
      <c r="B14" s="72" t="s">
        <v>219</v>
      </c>
      <c r="C14" s="72" t="s">
        <v>10</v>
      </c>
      <c r="D14" s="70" t="s">
        <v>220</v>
      </c>
      <c r="E14" s="128" t="s">
        <v>112</v>
      </c>
      <c r="F14" s="74" t="s">
        <v>13</v>
      </c>
      <c r="G14" s="72" t="s">
        <v>62</v>
      </c>
      <c r="H14" s="72" t="s">
        <v>10</v>
      </c>
      <c r="I14" s="73">
        <v>1</v>
      </c>
      <c r="J14" s="73">
        <v>1</v>
      </c>
      <c r="K14" s="71">
        <f>K15</f>
        <v>2152.13</v>
      </c>
      <c r="L14" s="71">
        <f t="shared" ref="L14:M14" si="1">L15</f>
        <v>2152.13</v>
      </c>
      <c r="M14" s="71">
        <f t="shared" si="1"/>
        <v>2152.13</v>
      </c>
    </row>
    <row r="15" spans="1:13" s="67" customFormat="1" ht="31.5">
      <c r="A15" s="140" t="s">
        <v>9</v>
      </c>
      <c r="B15" s="20" t="s">
        <v>219</v>
      </c>
      <c r="C15" s="161" t="s">
        <v>14</v>
      </c>
      <c r="D15" s="12" t="s">
        <v>147</v>
      </c>
      <c r="E15" s="129" t="s">
        <v>144</v>
      </c>
      <c r="F15" s="6" t="s">
        <v>12</v>
      </c>
      <c r="G15" s="69">
        <v>56</v>
      </c>
      <c r="H15" s="60" t="s">
        <v>145</v>
      </c>
      <c r="I15" s="69">
        <v>54</v>
      </c>
      <c r="J15" s="69">
        <v>1</v>
      </c>
      <c r="K15" s="65">
        <v>2152.13</v>
      </c>
      <c r="L15" s="65">
        <v>2152.13</v>
      </c>
      <c r="M15" s="65">
        <v>2152.13</v>
      </c>
    </row>
    <row r="16" spans="1:13" s="67" customFormat="1" ht="47.25">
      <c r="A16" s="72" t="s">
        <v>9</v>
      </c>
      <c r="B16" s="72" t="s">
        <v>150</v>
      </c>
      <c r="C16" s="72" t="s">
        <v>10</v>
      </c>
      <c r="D16" s="70" t="s">
        <v>146</v>
      </c>
      <c r="E16" s="128" t="s">
        <v>97</v>
      </c>
      <c r="F16" s="75" t="s">
        <v>13</v>
      </c>
      <c r="G16" s="73">
        <f>G17</f>
        <v>806500</v>
      </c>
      <c r="H16" s="72" t="s">
        <v>10</v>
      </c>
      <c r="I16" s="79">
        <f>I17</f>
        <v>808500</v>
      </c>
      <c r="J16" s="79">
        <f>J17</f>
        <v>810500</v>
      </c>
      <c r="K16" s="71">
        <f>K17+K18</f>
        <v>114809.4</v>
      </c>
      <c r="L16" s="71">
        <f t="shared" ref="L16:M16" si="2">L17+L18</f>
        <v>121399.71</v>
      </c>
      <c r="M16" s="71">
        <f t="shared" si="2"/>
        <v>121539.47</v>
      </c>
    </row>
    <row r="17" spans="1:15" s="67" customFormat="1" ht="31.5">
      <c r="A17" s="220" t="s">
        <v>9</v>
      </c>
      <c r="B17" s="220" t="s">
        <v>150</v>
      </c>
      <c r="C17" s="220" t="s">
        <v>14</v>
      </c>
      <c r="D17" s="61" t="s">
        <v>146</v>
      </c>
      <c r="E17" s="62" t="s">
        <v>97</v>
      </c>
      <c r="F17" s="63" t="s">
        <v>13</v>
      </c>
      <c r="G17" s="64">
        <v>806500</v>
      </c>
      <c r="H17" s="63" t="s">
        <v>145</v>
      </c>
      <c r="I17" s="64">
        <v>808500</v>
      </c>
      <c r="J17" s="64">
        <v>810500</v>
      </c>
      <c r="K17" s="65">
        <f>114776.93+32.47</f>
        <v>114809.4</v>
      </c>
      <c r="L17" s="65">
        <v>121235.38</v>
      </c>
      <c r="M17" s="65">
        <v>121235.39</v>
      </c>
      <c r="N17" s="172"/>
    </row>
    <row r="18" spans="1:15">
      <c r="A18" s="222"/>
      <c r="B18" s="222"/>
      <c r="C18" s="222"/>
      <c r="D18" s="5" t="s">
        <v>243</v>
      </c>
      <c r="E18" s="4" t="s">
        <v>10</v>
      </c>
      <c r="F18" s="4" t="s">
        <v>10</v>
      </c>
      <c r="G18" s="4" t="s">
        <v>10</v>
      </c>
      <c r="H18" s="4" t="s">
        <v>10</v>
      </c>
      <c r="I18" s="4" t="s">
        <v>10</v>
      </c>
      <c r="J18" s="4" t="s">
        <v>10</v>
      </c>
      <c r="K18" s="65">
        <v>0</v>
      </c>
      <c r="L18" s="65">
        <v>164.33</v>
      </c>
      <c r="M18" s="65">
        <v>304.08</v>
      </c>
    </row>
    <row r="19" spans="1:15" ht="47.25">
      <c r="A19" s="72" t="s">
        <v>9</v>
      </c>
      <c r="B19" s="72" t="s">
        <v>180</v>
      </c>
      <c r="C19" s="72" t="s">
        <v>10</v>
      </c>
      <c r="D19" s="70" t="s">
        <v>147</v>
      </c>
      <c r="E19" s="72" t="s">
        <v>144</v>
      </c>
      <c r="F19" s="74" t="s">
        <v>12</v>
      </c>
      <c r="G19" s="72">
        <v>544</v>
      </c>
      <c r="H19" s="72" t="s">
        <v>10</v>
      </c>
      <c r="I19" s="73">
        <v>546</v>
      </c>
      <c r="J19" s="73">
        <v>599</v>
      </c>
      <c r="K19" s="71">
        <f>K20+K21</f>
        <v>20740.57</v>
      </c>
      <c r="L19" s="71">
        <f t="shared" ref="L19:M19" si="3">L20+L21</f>
        <v>21921.77</v>
      </c>
      <c r="M19" s="71">
        <f t="shared" si="3"/>
        <v>21964.06</v>
      </c>
    </row>
    <row r="20" spans="1:15" ht="31.5">
      <c r="A20" s="220" t="s">
        <v>9</v>
      </c>
      <c r="B20" s="220" t="s">
        <v>180</v>
      </c>
      <c r="C20" s="220" t="s">
        <v>14</v>
      </c>
      <c r="D20" s="12" t="s">
        <v>147</v>
      </c>
      <c r="E20" s="14" t="s">
        <v>144</v>
      </c>
      <c r="F20" s="6" t="s">
        <v>12</v>
      </c>
      <c r="G20" s="18">
        <f>600-56</f>
        <v>544</v>
      </c>
      <c r="H20" s="6" t="s">
        <v>145</v>
      </c>
      <c r="I20" s="18">
        <f>600-54</f>
        <v>546</v>
      </c>
      <c r="J20" s="18">
        <f>600-1</f>
        <v>599</v>
      </c>
      <c r="K20" s="11">
        <f>20730.75+9.82</f>
        <v>20740.57</v>
      </c>
      <c r="L20" s="11">
        <v>21872.04</v>
      </c>
      <c r="M20" s="11">
        <v>21872.04</v>
      </c>
    </row>
    <row r="21" spans="1:15">
      <c r="A21" s="222"/>
      <c r="B21" s="222"/>
      <c r="C21" s="222"/>
      <c r="D21" s="5" t="s">
        <v>235</v>
      </c>
      <c r="E21" s="54" t="s">
        <v>10</v>
      </c>
      <c r="F21" s="54" t="s">
        <v>10</v>
      </c>
      <c r="G21" s="54" t="s">
        <v>10</v>
      </c>
      <c r="H21" s="54" t="s">
        <v>10</v>
      </c>
      <c r="I21" s="54" t="s">
        <v>10</v>
      </c>
      <c r="J21" s="54" t="s">
        <v>10</v>
      </c>
      <c r="K21" s="11">
        <v>0</v>
      </c>
      <c r="L21" s="11">
        <v>49.73</v>
      </c>
      <c r="M21" s="11">
        <v>92.02</v>
      </c>
    </row>
    <row r="22" spans="1:15" ht="18.75">
      <c r="A22" s="72" t="s">
        <v>9</v>
      </c>
      <c r="B22" s="72" t="s">
        <v>149</v>
      </c>
      <c r="C22" s="72" t="s">
        <v>10</v>
      </c>
      <c r="D22" s="70" t="s">
        <v>148</v>
      </c>
      <c r="E22" s="70" t="s">
        <v>33</v>
      </c>
      <c r="F22" s="75" t="s">
        <v>13</v>
      </c>
      <c r="G22" s="79">
        <v>17</v>
      </c>
      <c r="H22" s="79" t="s">
        <v>10</v>
      </c>
      <c r="I22" s="79">
        <v>4</v>
      </c>
      <c r="J22" s="79">
        <v>3</v>
      </c>
      <c r="K22" s="71">
        <f>K23+K24+K25+K26+K27+K28+K29+K30+K31+K32+K33+K34+K35+K36+K37+K38+K39+K40+K41</f>
        <v>11811.28</v>
      </c>
      <c r="L22" s="71">
        <f>L23+L24+L25+L26+L27+L28+L29+L30+L31+L32+L33+L34+L35+L36+L37+L41</f>
        <v>9802.7000000000007</v>
      </c>
      <c r="M22" s="71">
        <f t="shared" ref="M22" si="4">M23+M25+M26+M27+M28+M29+M30+M31+M32+M36+M41+M33+M34+M35+M37</f>
        <v>9802.7000000000007</v>
      </c>
      <c r="N22" s="13"/>
      <c r="O22" s="9"/>
    </row>
    <row r="23" spans="1:15" ht="67.5" customHeight="1">
      <c r="A23" s="220" t="s">
        <v>9</v>
      </c>
      <c r="B23" s="220" t="s">
        <v>149</v>
      </c>
      <c r="C23" s="220" t="s">
        <v>14</v>
      </c>
      <c r="D23" s="24" t="s">
        <v>273</v>
      </c>
      <c r="E23" s="7" t="s">
        <v>33</v>
      </c>
      <c r="F23" s="38" t="s">
        <v>13</v>
      </c>
      <c r="G23" s="19">
        <v>3</v>
      </c>
      <c r="H23" s="6" t="s">
        <v>145</v>
      </c>
      <c r="I23" s="156">
        <v>1</v>
      </c>
      <c r="J23" s="156">
        <v>1</v>
      </c>
      <c r="K23" s="11">
        <v>3684.36</v>
      </c>
      <c r="L23" s="11">
        <f>7096.7-L24</f>
        <v>6608.73</v>
      </c>
      <c r="M23" s="11">
        <v>7096.7</v>
      </c>
      <c r="O23" s="9"/>
    </row>
    <row r="24" spans="1:15" ht="31.5">
      <c r="A24" s="221"/>
      <c r="B24" s="221"/>
      <c r="C24" s="221"/>
      <c r="D24" s="24" t="s">
        <v>303</v>
      </c>
      <c r="E24" s="7" t="s">
        <v>33</v>
      </c>
      <c r="F24" s="54" t="s">
        <v>13</v>
      </c>
      <c r="G24" s="19" t="s">
        <v>10</v>
      </c>
      <c r="H24" s="6" t="s">
        <v>10</v>
      </c>
      <c r="I24" s="156">
        <v>1</v>
      </c>
      <c r="J24" s="156">
        <v>0</v>
      </c>
      <c r="K24" s="11">
        <v>0</v>
      </c>
      <c r="L24" s="11">
        <v>487.97</v>
      </c>
      <c r="M24" s="11">
        <v>0</v>
      </c>
      <c r="O24" s="9"/>
    </row>
    <row r="25" spans="1:15" ht="31.5">
      <c r="A25" s="221"/>
      <c r="B25" s="221"/>
      <c r="C25" s="221"/>
      <c r="D25" s="24" t="s">
        <v>151</v>
      </c>
      <c r="E25" s="7" t="s">
        <v>16</v>
      </c>
      <c r="F25" s="38" t="s">
        <v>13</v>
      </c>
      <c r="G25" s="19">
        <v>1</v>
      </c>
      <c r="H25" s="6" t="s">
        <v>145</v>
      </c>
      <c r="I25" s="156">
        <v>0</v>
      </c>
      <c r="J25" s="156">
        <v>0</v>
      </c>
      <c r="K25" s="11">
        <v>200</v>
      </c>
      <c r="L25" s="11">
        <v>0</v>
      </c>
      <c r="M25" s="11">
        <v>0</v>
      </c>
      <c r="O25" s="9"/>
    </row>
    <row r="26" spans="1:15" ht="31.5">
      <c r="A26" s="221"/>
      <c r="B26" s="221"/>
      <c r="C26" s="221"/>
      <c r="D26" s="24" t="s">
        <v>152</v>
      </c>
      <c r="E26" s="158" t="s">
        <v>16</v>
      </c>
      <c r="F26" s="38" t="s">
        <v>13</v>
      </c>
      <c r="G26" s="2">
        <v>1</v>
      </c>
      <c r="H26" s="6" t="s">
        <v>145</v>
      </c>
      <c r="I26" s="156">
        <v>0</v>
      </c>
      <c r="J26" s="156">
        <v>0</v>
      </c>
      <c r="K26" s="11">
        <v>120</v>
      </c>
      <c r="L26" s="11">
        <v>0</v>
      </c>
      <c r="M26" s="11">
        <v>0</v>
      </c>
      <c r="O26" s="9"/>
    </row>
    <row r="27" spans="1:15" ht="66.75" customHeight="1">
      <c r="A27" s="221"/>
      <c r="B27" s="221"/>
      <c r="C27" s="221"/>
      <c r="D27" s="15" t="s">
        <v>153</v>
      </c>
      <c r="E27" s="7" t="s">
        <v>15</v>
      </c>
      <c r="F27" s="54" t="s">
        <v>13</v>
      </c>
      <c r="G27" s="40">
        <v>3</v>
      </c>
      <c r="H27" s="6" t="s">
        <v>145</v>
      </c>
      <c r="I27" s="156">
        <v>0</v>
      </c>
      <c r="J27" s="156">
        <v>0</v>
      </c>
      <c r="K27" s="11">
        <v>550</v>
      </c>
      <c r="L27" s="11">
        <v>0</v>
      </c>
      <c r="M27" s="11">
        <v>0</v>
      </c>
      <c r="O27" s="9"/>
    </row>
    <row r="28" spans="1:15" ht="31.5">
      <c r="A28" s="221"/>
      <c r="B28" s="221"/>
      <c r="C28" s="221"/>
      <c r="D28" s="15" t="s">
        <v>293</v>
      </c>
      <c r="E28" s="7" t="s">
        <v>15</v>
      </c>
      <c r="F28" s="40" t="s">
        <v>13</v>
      </c>
      <c r="G28" s="54">
        <v>1</v>
      </c>
      <c r="H28" s="6" t="s">
        <v>145</v>
      </c>
      <c r="I28" s="156">
        <v>0</v>
      </c>
      <c r="J28" s="156">
        <v>0</v>
      </c>
      <c r="K28" s="11">
        <v>293.56</v>
      </c>
      <c r="L28" s="11">
        <v>0</v>
      </c>
      <c r="M28" s="11">
        <v>0</v>
      </c>
      <c r="O28" s="9"/>
    </row>
    <row r="29" spans="1:15" ht="31.5">
      <c r="A29" s="221"/>
      <c r="B29" s="221"/>
      <c r="C29" s="221"/>
      <c r="D29" s="15" t="s">
        <v>294</v>
      </c>
      <c r="E29" s="7" t="s">
        <v>15</v>
      </c>
      <c r="F29" s="51" t="s">
        <v>13</v>
      </c>
      <c r="G29" s="19">
        <v>1</v>
      </c>
      <c r="H29" s="6" t="s">
        <v>145</v>
      </c>
      <c r="I29" s="156">
        <v>0</v>
      </c>
      <c r="J29" s="156">
        <v>0</v>
      </c>
      <c r="K29" s="11">
        <v>821.65</v>
      </c>
      <c r="L29" s="11">
        <v>0</v>
      </c>
      <c r="M29" s="11">
        <v>0</v>
      </c>
      <c r="O29" s="9"/>
    </row>
    <row r="30" spans="1:15" ht="31.5">
      <c r="A30" s="221"/>
      <c r="B30" s="221"/>
      <c r="C30" s="221"/>
      <c r="D30" s="15" t="s">
        <v>284</v>
      </c>
      <c r="E30" s="7" t="s">
        <v>16</v>
      </c>
      <c r="F30" s="54" t="s">
        <v>13</v>
      </c>
      <c r="G30" s="19">
        <v>3</v>
      </c>
      <c r="H30" s="6" t="s">
        <v>145</v>
      </c>
      <c r="I30" s="156">
        <v>0</v>
      </c>
      <c r="J30" s="156">
        <v>0</v>
      </c>
      <c r="K30" s="11">
        <v>119</v>
      </c>
      <c r="L30" s="11">
        <v>0</v>
      </c>
      <c r="M30" s="11">
        <v>0</v>
      </c>
      <c r="O30" s="9"/>
    </row>
    <row r="31" spans="1:15" ht="31.5">
      <c r="A31" s="221"/>
      <c r="B31" s="221"/>
      <c r="C31" s="221"/>
      <c r="D31" s="15" t="s">
        <v>285</v>
      </c>
      <c r="E31" s="7" t="s">
        <v>16</v>
      </c>
      <c r="F31" s="54" t="s">
        <v>13</v>
      </c>
      <c r="G31" s="19">
        <v>1</v>
      </c>
      <c r="H31" s="6" t="s">
        <v>145</v>
      </c>
      <c r="I31" s="156">
        <v>0</v>
      </c>
      <c r="J31" s="156">
        <v>0</v>
      </c>
      <c r="K31" s="11">
        <v>51</v>
      </c>
      <c r="L31" s="11">
        <v>0</v>
      </c>
      <c r="M31" s="11">
        <v>0</v>
      </c>
      <c r="O31" s="9"/>
    </row>
    <row r="32" spans="1:15" ht="31.5">
      <c r="A32" s="221"/>
      <c r="B32" s="221"/>
      <c r="C32" s="221"/>
      <c r="D32" s="15" t="s">
        <v>286</v>
      </c>
      <c r="E32" s="7" t="s">
        <v>16</v>
      </c>
      <c r="F32" s="54" t="s">
        <v>13</v>
      </c>
      <c r="G32" s="19">
        <v>9</v>
      </c>
      <c r="H32" s="6" t="s">
        <v>145</v>
      </c>
      <c r="I32" s="156">
        <v>0</v>
      </c>
      <c r="J32" s="156">
        <v>0</v>
      </c>
      <c r="K32" s="11">
        <v>39</v>
      </c>
      <c r="L32" s="11">
        <v>0</v>
      </c>
      <c r="M32" s="11">
        <v>0</v>
      </c>
      <c r="O32" s="9"/>
    </row>
    <row r="33" spans="1:15" ht="31.5">
      <c r="A33" s="221"/>
      <c r="B33" s="221"/>
      <c r="C33" s="221"/>
      <c r="D33" s="15" t="s">
        <v>304</v>
      </c>
      <c r="E33" s="7" t="s">
        <v>16</v>
      </c>
      <c r="F33" s="54" t="s">
        <v>13</v>
      </c>
      <c r="G33" s="19">
        <v>4</v>
      </c>
      <c r="H33" s="6" t="s">
        <v>145</v>
      </c>
      <c r="I33" s="156">
        <v>0</v>
      </c>
      <c r="J33" s="156">
        <v>0</v>
      </c>
      <c r="K33" s="11">
        <v>431</v>
      </c>
      <c r="L33" s="11">
        <v>0</v>
      </c>
      <c r="M33" s="11">
        <v>0</v>
      </c>
      <c r="O33" s="9"/>
    </row>
    <row r="34" spans="1:15" ht="31.5">
      <c r="A34" s="221"/>
      <c r="B34" s="221"/>
      <c r="C34" s="221"/>
      <c r="D34" s="15" t="s">
        <v>306</v>
      </c>
      <c r="E34" s="7" t="s">
        <v>137</v>
      </c>
      <c r="F34" s="54" t="s">
        <v>13</v>
      </c>
      <c r="G34" s="19">
        <v>1</v>
      </c>
      <c r="H34" s="6" t="s">
        <v>145</v>
      </c>
      <c r="I34" s="156">
        <v>0</v>
      </c>
      <c r="J34" s="156">
        <v>0</v>
      </c>
      <c r="K34" s="11">
        <v>59.3</v>
      </c>
      <c r="L34" s="11">
        <v>0</v>
      </c>
      <c r="M34" s="11">
        <v>0</v>
      </c>
      <c r="O34" s="9"/>
    </row>
    <row r="35" spans="1:15" ht="31.5">
      <c r="A35" s="221"/>
      <c r="B35" s="221"/>
      <c r="C35" s="221"/>
      <c r="D35" s="15" t="s">
        <v>305</v>
      </c>
      <c r="E35" s="7" t="s">
        <v>110</v>
      </c>
      <c r="F35" s="54" t="s">
        <v>13</v>
      </c>
      <c r="G35" s="19">
        <v>38</v>
      </c>
      <c r="H35" s="6" t="s">
        <v>145</v>
      </c>
      <c r="I35" s="156">
        <v>0</v>
      </c>
      <c r="J35" s="156">
        <v>0</v>
      </c>
      <c r="K35" s="11">
        <v>520</v>
      </c>
      <c r="L35" s="11">
        <v>0</v>
      </c>
      <c r="M35" s="11">
        <v>0</v>
      </c>
      <c r="O35" s="9"/>
    </row>
    <row r="36" spans="1:15" ht="31.5">
      <c r="A36" s="221"/>
      <c r="B36" s="221"/>
      <c r="C36" s="221"/>
      <c r="D36" s="12" t="s">
        <v>100</v>
      </c>
      <c r="E36" s="12" t="s">
        <v>288</v>
      </c>
      <c r="F36" s="10" t="s">
        <v>13</v>
      </c>
      <c r="G36" s="19">
        <v>18</v>
      </c>
      <c r="H36" s="6" t="s">
        <v>145</v>
      </c>
      <c r="I36" s="136">
        <v>20</v>
      </c>
      <c r="J36" s="136">
        <v>21</v>
      </c>
      <c r="K36" s="11">
        <v>990</v>
      </c>
      <c r="L36" s="11">
        <v>2519</v>
      </c>
      <c r="M36" s="11">
        <v>2519</v>
      </c>
      <c r="O36" s="9"/>
    </row>
    <row r="37" spans="1:15" ht="63">
      <c r="A37" s="221"/>
      <c r="B37" s="221"/>
      <c r="C37" s="221"/>
      <c r="D37" s="5" t="s">
        <v>317</v>
      </c>
      <c r="E37" s="12" t="s">
        <v>288</v>
      </c>
      <c r="F37" s="10" t="s">
        <v>13</v>
      </c>
      <c r="G37" s="19" t="s">
        <v>10</v>
      </c>
      <c r="H37" s="19" t="s">
        <v>10</v>
      </c>
      <c r="I37" s="136">
        <v>11</v>
      </c>
      <c r="J37" s="136">
        <v>11</v>
      </c>
      <c r="K37" s="11">
        <v>0</v>
      </c>
      <c r="L37" s="11">
        <v>187</v>
      </c>
      <c r="M37" s="11">
        <v>187</v>
      </c>
      <c r="O37" s="9"/>
    </row>
    <row r="38" spans="1:15" ht="31.5">
      <c r="A38" s="221"/>
      <c r="B38" s="221"/>
      <c r="C38" s="221"/>
      <c r="D38" s="164" t="s">
        <v>348</v>
      </c>
      <c r="E38" s="7" t="s">
        <v>16</v>
      </c>
      <c r="F38" s="10" t="s">
        <v>13</v>
      </c>
      <c r="G38" s="19">
        <v>1</v>
      </c>
      <c r="H38" s="210" t="s">
        <v>145</v>
      </c>
      <c r="I38" s="211">
        <v>0</v>
      </c>
      <c r="J38" s="4">
        <v>0</v>
      </c>
      <c r="K38" s="4">
        <v>11.41</v>
      </c>
      <c r="L38" s="11">
        <v>0</v>
      </c>
      <c r="M38" s="11">
        <v>0</v>
      </c>
      <c r="O38" s="9"/>
    </row>
    <row r="39" spans="1:15" ht="31.5">
      <c r="A39" s="221"/>
      <c r="B39" s="221"/>
      <c r="C39" s="221"/>
      <c r="D39" s="164" t="s">
        <v>369</v>
      </c>
      <c r="E39" s="7" t="s">
        <v>15</v>
      </c>
      <c r="F39" s="10" t="s">
        <v>13</v>
      </c>
      <c r="G39" s="19">
        <v>1</v>
      </c>
      <c r="H39" s="210" t="s">
        <v>145</v>
      </c>
      <c r="I39" s="211">
        <v>0</v>
      </c>
      <c r="J39" s="4">
        <v>0</v>
      </c>
      <c r="K39" s="11">
        <v>2961</v>
      </c>
      <c r="L39" s="11">
        <v>0</v>
      </c>
      <c r="M39" s="11">
        <v>0</v>
      </c>
      <c r="O39" s="9"/>
    </row>
    <row r="40" spans="1:15" ht="31.5">
      <c r="A40" s="221"/>
      <c r="B40" s="221"/>
      <c r="C40" s="221"/>
      <c r="D40" s="164" t="s">
        <v>370</v>
      </c>
      <c r="E40" s="7" t="s">
        <v>16</v>
      </c>
      <c r="F40" s="10" t="s">
        <v>13</v>
      </c>
      <c r="G40" s="19">
        <v>2</v>
      </c>
      <c r="H40" s="210" t="s">
        <v>145</v>
      </c>
      <c r="I40" s="211">
        <v>0</v>
      </c>
      <c r="J40" s="4">
        <v>0</v>
      </c>
      <c r="K40" s="11">
        <v>460</v>
      </c>
      <c r="L40" s="11">
        <v>0</v>
      </c>
      <c r="M40" s="11">
        <v>0</v>
      </c>
      <c r="O40" s="9"/>
    </row>
    <row r="41" spans="1:15" ht="31.5">
      <c r="A41" s="222"/>
      <c r="B41" s="222"/>
      <c r="C41" s="222"/>
      <c r="D41" s="164" t="s">
        <v>371</v>
      </c>
      <c r="E41" s="7" t="s">
        <v>110</v>
      </c>
      <c r="F41" s="10" t="s">
        <v>13</v>
      </c>
      <c r="G41" s="54">
        <v>21</v>
      </c>
      <c r="H41" s="6" t="s">
        <v>145</v>
      </c>
      <c r="I41" s="4">
        <v>0</v>
      </c>
      <c r="J41" s="4">
        <v>0</v>
      </c>
      <c r="K41" s="11">
        <v>500</v>
      </c>
      <c r="L41" s="11">
        <v>0</v>
      </c>
      <c r="M41" s="11">
        <v>0</v>
      </c>
      <c r="O41" s="9"/>
    </row>
    <row r="42" spans="1:15" ht="31.5">
      <c r="A42" s="72" t="s">
        <v>9</v>
      </c>
      <c r="B42" s="72" t="s">
        <v>290</v>
      </c>
      <c r="C42" s="72" t="s">
        <v>10</v>
      </c>
      <c r="D42" s="70" t="s">
        <v>291</v>
      </c>
      <c r="E42" s="70" t="s">
        <v>123</v>
      </c>
      <c r="F42" s="75" t="s">
        <v>30</v>
      </c>
      <c r="G42" s="79">
        <v>1</v>
      </c>
      <c r="H42" s="79" t="s">
        <v>145</v>
      </c>
      <c r="I42" s="79" t="s">
        <v>10</v>
      </c>
      <c r="J42" s="79" t="s">
        <v>10</v>
      </c>
      <c r="K42" s="71">
        <f>K43</f>
        <v>39.89</v>
      </c>
      <c r="L42" s="71">
        <f t="shared" ref="L42:M42" si="5">L43</f>
        <v>0</v>
      </c>
      <c r="M42" s="71">
        <f t="shared" si="5"/>
        <v>0</v>
      </c>
      <c r="O42" s="9"/>
    </row>
    <row r="43" spans="1:15" ht="31.5">
      <c r="A43" s="20" t="s">
        <v>9</v>
      </c>
      <c r="B43" s="20" t="s">
        <v>290</v>
      </c>
      <c r="C43" s="20" t="s">
        <v>17</v>
      </c>
      <c r="D43" s="16" t="s">
        <v>292</v>
      </c>
      <c r="E43" s="16" t="s">
        <v>123</v>
      </c>
      <c r="F43" s="19" t="s">
        <v>30</v>
      </c>
      <c r="G43" s="23">
        <v>1</v>
      </c>
      <c r="H43" s="6" t="s">
        <v>145</v>
      </c>
      <c r="I43" s="23">
        <v>0</v>
      </c>
      <c r="J43" s="23">
        <v>0</v>
      </c>
      <c r="K43" s="11">
        <v>39.89</v>
      </c>
      <c r="L43" s="11">
        <v>0</v>
      </c>
      <c r="M43" s="11">
        <v>0</v>
      </c>
      <c r="O43" s="9"/>
    </row>
    <row r="44" spans="1:15" ht="78.75">
      <c r="A44" s="149" t="s">
        <v>271</v>
      </c>
      <c r="B44" s="148" t="s">
        <v>10</v>
      </c>
      <c r="C44" s="162" t="s">
        <v>10</v>
      </c>
      <c r="D44" s="150" t="s">
        <v>272</v>
      </c>
      <c r="E44" s="103" t="s">
        <v>268</v>
      </c>
      <c r="F44" s="77" t="s">
        <v>13</v>
      </c>
      <c r="G44" s="82">
        <v>1</v>
      </c>
      <c r="H44" s="77" t="s">
        <v>10</v>
      </c>
      <c r="I44" s="82" t="s">
        <v>95</v>
      </c>
      <c r="J44" s="82" t="s">
        <v>95</v>
      </c>
      <c r="K44" s="147">
        <v>4117.6499999999996</v>
      </c>
      <c r="L44" s="147">
        <v>0</v>
      </c>
      <c r="M44" s="147">
        <v>0</v>
      </c>
      <c r="O44" s="9"/>
    </row>
    <row r="45" spans="1:15" ht="107.25" customHeight="1">
      <c r="A45" s="72" t="s">
        <v>271</v>
      </c>
      <c r="B45" s="72" t="s">
        <v>269</v>
      </c>
      <c r="C45" s="72" t="s">
        <v>10</v>
      </c>
      <c r="D45" s="70" t="s">
        <v>270</v>
      </c>
      <c r="E45" s="128" t="s">
        <v>268</v>
      </c>
      <c r="F45" s="75" t="s">
        <v>13</v>
      </c>
      <c r="G45" s="79">
        <v>1</v>
      </c>
      <c r="H45" s="72" t="s">
        <v>10</v>
      </c>
      <c r="I45" s="79" t="s">
        <v>95</v>
      </c>
      <c r="J45" s="79" t="s">
        <v>95</v>
      </c>
      <c r="K45" s="71">
        <v>4117.6499999999996</v>
      </c>
      <c r="L45" s="71">
        <v>0</v>
      </c>
      <c r="M45" s="71">
        <v>0</v>
      </c>
      <c r="O45" s="9"/>
    </row>
    <row r="46" spans="1:15" ht="107.25" customHeight="1">
      <c r="A46" s="6" t="s">
        <v>271</v>
      </c>
      <c r="B46" s="6" t="s">
        <v>269</v>
      </c>
      <c r="C46" s="6" t="s">
        <v>122</v>
      </c>
      <c r="D46" s="16" t="s">
        <v>295</v>
      </c>
      <c r="E46" s="12" t="s">
        <v>268</v>
      </c>
      <c r="F46" s="10" t="s">
        <v>13</v>
      </c>
      <c r="G46" s="19">
        <v>1</v>
      </c>
      <c r="H46" s="19" t="s">
        <v>145</v>
      </c>
      <c r="I46" s="20" t="s">
        <v>95</v>
      </c>
      <c r="J46" s="20" t="s">
        <v>95</v>
      </c>
      <c r="K46" s="11">
        <v>4117.6499999999996</v>
      </c>
      <c r="L46" s="11">
        <v>0</v>
      </c>
      <c r="M46" s="11">
        <v>0</v>
      </c>
      <c r="O46" s="9"/>
    </row>
    <row r="47" spans="1:15">
      <c r="A47" s="219" t="s">
        <v>18</v>
      </c>
      <c r="B47" s="266" t="s">
        <v>10</v>
      </c>
      <c r="C47" s="224" t="s">
        <v>10</v>
      </c>
      <c r="D47" s="270" t="s">
        <v>160</v>
      </c>
      <c r="E47" s="103" t="s">
        <v>19</v>
      </c>
      <c r="F47" s="77" t="s">
        <v>20</v>
      </c>
      <c r="G47" s="107">
        <v>58</v>
      </c>
      <c r="H47" s="77" t="s">
        <v>10</v>
      </c>
      <c r="I47" s="107">
        <v>59</v>
      </c>
      <c r="J47" s="107">
        <v>60</v>
      </c>
      <c r="K47" s="246">
        <f>K51+K53+K55+K57+K60+K66+K69</f>
        <v>213541.95999999996</v>
      </c>
      <c r="L47" s="246">
        <f>L51+L53+L55+L57+L60++L66+L69</f>
        <v>342277.71</v>
      </c>
      <c r="M47" s="246">
        <f>M51+M53+M55+M57+M60++M66+M69</f>
        <v>366042.36999999994</v>
      </c>
    </row>
    <row r="48" spans="1:15" ht="31.5">
      <c r="A48" s="219"/>
      <c r="B48" s="267"/>
      <c r="C48" s="274"/>
      <c r="D48" s="272"/>
      <c r="E48" s="103" t="s">
        <v>21</v>
      </c>
      <c r="F48" s="77" t="s">
        <v>13</v>
      </c>
      <c r="G48" s="107">
        <v>20</v>
      </c>
      <c r="H48" s="77" t="s">
        <v>10</v>
      </c>
      <c r="I48" s="107">
        <v>20</v>
      </c>
      <c r="J48" s="107">
        <v>20</v>
      </c>
      <c r="K48" s="246"/>
      <c r="L48" s="246"/>
      <c r="M48" s="246"/>
    </row>
    <row r="49" spans="1:13">
      <c r="A49" s="219"/>
      <c r="B49" s="267"/>
      <c r="C49" s="274"/>
      <c r="D49" s="272"/>
      <c r="E49" s="103" t="s">
        <v>22</v>
      </c>
      <c r="F49" s="77" t="s">
        <v>20</v>
      </c>
      <c r="G49" s="107">
        <v>400</v>
      </c>
      <c r="H49" s="77" t="s">
        <v>10</v>
      </c>
      <c r="I49" s="107">
        <v>410</v>
      </c>
      <c r="J49" s="107">
        <v>420</v>
      </c>
      <c r="K49" s="246"/>
      <c r="L49" s="246"/>
      <c r="M49" s="246"/>
    </row>
    <row r="50" spans="1:13" ht="31.5">
      <c r="A50" s="219"/>
      <c r="B50" s="268"/>
      <c r="C50" s="273"/>
      <c r="D50" s="271"/>
      <c r="E50" s="103" t="s">
        <v>23</v>
      </c>
      <c r="F50" s="77" t="s">
        <v>24</v>
      </c>
      <c r="G50" s="77" t="s">
        <v>25</v>
      </c>
      <c r="H50" s="77" t="s">
        <v>10</v>
      </c>
      <c r="I50" s="77" t="s">
        <v>25</v>
      </c>
      <c r="J50" s="77" t="s">
        <v>25</v>
      </c>
      <c r="K50" s="246"/>
      <c r="L50" s="246"/>
      <c r="M50" s="246"/>
    </row>
    <row r="51" spans="1:13" ht="63">
      <c r="A51" s="72" t="s">
        <v>18</v>
      </c>
      <c r="B51" s="127" t="s">
        <v>181</v>
      </c>
      <c r="C51" s="72" t="s">
        <v>10</v>
      </c>
      <c r="D51" s="78" t="s">
        <v>261</v>
      </c>
      <c r="E51" s="70" t="s">
        <v>15</v>
      </c>
      <c r="F51" s="75" t="s">
        <v>13</v>
      </c>
      <c r="G51" s="75">
        <v>1</v>
      </c>
      <c r="H51" s="72" t="s">
        <v>10</v>
      </c>
      <c r="I51" s="72" t="s">
        <v>95</v>
      </c>
      <c r="J51" s="72">
        <v>1</v>
      </c>
      <c r="K51" s="72">
        <f>K52</f>
        <v>15167.07</v>
      </c>
      <c r="L51" s="72">
        <v>0</v>
      </c>
      <c r="M51" s="71">
        <f t="shared" ref="M51" si="6">M52</f>
        <v>20589.259999999998</v>
      </c>
    </row>
    <row r="52" spans="1:13" s="122" customFormat="1" ht="47.25">
      <c r="A52" s="20" t="s">
        <v>18</v>
      </c>
      <c r="B52" s="141" t="s">
        <v>181</v>
      </c>
      <c r="C52" s="20" t="s">
        <v>26</v>
      </c>
      <c r="D52" s="15" t="s">
        <v>106</v>
      </c>
      <c r="E52" s="16" t="s">
        <v>15</v>
      </c>
      <c r="F52" s="19" t="s">
        <v>13</v>
      </c>
      <c r="G52" s="19">
        <v>1</v>
      </c>
      <c r="H52" s="20" t="s">
        <v>145</v>
      </c>
      <c r="I52" s="195" t="s">
        <v>95</v>
      </c>
      <c r="J52" s="195" t="s">
        <v>62</v>
      </c>
      <c r="K52" s="11">
        <v>15167.07</v>
      </c>
      <c r="L52" s="11">
        <v>0</v>
      </c>
      <c r="M52" s="11">
        <v>20589.259999999998</v>
      </c>
    </row>
    <row r="53" spans="1:13" s="122" customFormat="1" ht="94.5">
      <c r="A53" s="72" t="s">
        <v>18</v>
      </c>
      <c r="B53" s="127" t="s">
        <v>182</v>
      </c>
      <c r="C53" s="72" t="s">
        <v>10</v>
      </c>
      <c r="D53" s="78" t="s">
        <v>262</v>
      </c>
      <c r="E53" s="70" t="s">
        <v>15</v>
      </c>
      <c r="F53" s="75" t="s">
        <v>13</v>
      </c>
      <c r="G53" s="75">
        <v>1</v>
      </c>
      <c r="H53" s="72" t="s">
        <v>10</v>
      </c>
      <c r="I53" s="72" t="s">
        <v>62</v>
      </c>
      <c r="J53" s="72" t="s">
        <v>95</v>
      </c>
      <c r="K53" s="72">
        <f>K54</f>
        <v>56392.3</v>
      </c>
      <c r="L53" s="72">
        <f t="shared" ref="L53:M53" si="7">L54</f>
        <v>210404.74</v>
      </c>
      <c r="M53" s="71">
        <f t="shared" si="7"/>
        <v>0</v>
      </c>
    </row>
    <row r="54" spans="1:13" s="122" customFormat="1" ht="63">
      <c r="A54" s="20" t="s">
        <v>18</v>
      </c>
      <c r="B54" s="141" t="s">
        <v>182</v>
      </c>
      <c r="C54" s="20" t="s">
        <v>26</v>
      </c>
      <c r="D54" s="15" t="s">
        <v>121</v>
      </c>
      <c r="E54" s="16" t="s">
        <v>15</v>
      </c>
      <c r="F54" s="19" t="s">
        <v>13</v>
      </c>
      <c r="G54" s="19">
        <v>1</v>
      </c>
      <c r="H54" s="20" t="s">
        <v>145</v>
      </c>
      <c r="I54" s="195" t="s">
        <v>62</v>
      </c>
      <c r="J54" s="195" t="s">
        <v>95</v>
      </c>
      <c r="K54" s="11">
        <v>56392.3</v>
      </c>
      <c r="L54" s="11">
        <v>210404.74</v>
      </c>
      <c r="M54" s="11">
        <v>0</v>
      </c>
    </row>
    <row r="55" spans="1:13" s="122" customFormat="1" ht="47.25">
      <c r="A55" s="72" t="s">
        <v>18</v>
      </c>
      <c r="B55" s="127" t="s">
        <v>155</v>
      </c>
      <c r="C55" s="72" t="s">
        <v>10</v>
      </c>
      <c r="D55" s="78" t="s">
        <v>154</v>
      </c>
      <c r="E55" s="70" t="s">
        <v>15</v>
      </c>
      <c r="F55" s="75" t="s">
        <v>13</v>
      </c>
      <c r="G55" s="75">
        <v>0</v>
      </c>
      <c r="H55" s="72" t="s">
        <v>10</v>
      </c>
      <c r="I55" s="72" t="s">
        <v>95</v>
      </c>
      <c r="J55" s="72" t="s">
        <v>62</v>
      </c>
      <c r="K55" s="72">
        <f>K56</f>
        <v>0</v>
      </c>
      <c r="L55" s="72">
        <f t="shared" ref="L55:M55" si="8">L56</f>
        <v>0</v>
      </c>
      <c r="M55" s="71">
        <f t="shared" si="8"/>
        <v>214174.84</v>
      </c>
    </row>
    <row r="56" spans="1:13" s="122" customFormat="1" ht="48" customHeight="1">
      <c r="A56" s="20" t="s">
        <v>18</v>
      </c>
      <c r="B56" s="141" t="s">
        <v>155</v>
      </c>
      <c r="C56" s="20" t="s">
        <v>26</v>
      </c>
      <c r="D56" s="15" t="s">
        <v>154</v>
      </c>
      <c r="E56" s="16" t="s">
        <v>15</v>
      </c>
      <c r="F56" s="19" t="s">
        <v>13</v>
      </c>
      <c r="G56" s="19">
        <v>0</v>
      </c>
      <c r="H56" s="20" t="s">
        <v>10</v>
      </c>
      <c r="I56" s="195" t="s">
        <v>95</v>
      </c>
      <c r="J56" s="195" t="s">
        <v>62</v>
      </c>
      <c r="K56" s="11">
        <v>0</v>
      </c>
      <c r="L56" s="11">
        <v>0</v>
      </c>
      <c r="M56" s="11">
        <v>214174.84</v>
      </c>
    </row>
    <row r="57" spans="1:13" ht="31.5">
      <c r="A57" s="72" t="s">
        <v>18</v>
      </c>
      <c r="B57" s="127" t="s">
        <v>157</v>
      </c>
      <c r="C57" s="72" t="s">
        <v>10</v>
      </c>
      <c r="D57" s="78" t="s">
        <v>156</v>
      </c>
      <c r="E57" s="70" t="s">
        <v>22</v>
      </c>
      <c r="F57" s="75" t="s">
        <v>20</v>
      </c>
      <c r="G57" s="75">
        <v>400</v>
      </c>
      <c r="H57" s="72" t="s">
        <v>10</v>
      </c>
      <c r="I57" s="72" t="s">
        <v>158</v>
      </c>
      <c r="J57" s="72" t="s">
        <v>159</v>
      </c>
      <c r="K57" s="71">
        <f>K58+K59</f>
        <v>105162.11</v>
      </c>
      <c r="L57" s="71">
        <f t="shared" ref="L57:M57" si="9">L58+L59</f>
        <v>107561.40000000001</v>
      </c>
      <c r="M57" s="71">
        <f t="shared" si="9"/>
        <v>107651.51000000001</v>
      </c>
    </row>
    <row r="58" spans="1:13" ht="31.5">
      <c r="A58" s="227" t="s">
        <v>18</v>
      </c>
      <c r="B58" s="227" t="s">
        <v>157</v>
      </c>
      <c r="C58" s="227" t="s">
        <v>26</v>
      </c>
      <c r="D58" s="15" t="s">
        <v>156</v>
      </c>
      <c r="E58" s="16" t="s">
        <v>22</v>
      </c>
      <c r="F58" s="19" t="s">
        <v>20</v>
      </c>
      <c r="G58" s="19">
        <v>400</v>
      </c>
      <c r="H58" s="20" t="s">
        <v>145</v>
      </c>
      <c r="I58" s="20" t="s">
        <v>158</v>
      </c>
      <c r="J58" s="20" t="s">
        <v>159</v>
      </c>
      <c r="K58" s="11">
        <f>105141.63+20.48</f>
        <v>105162.11</v>
      </c>
      <c r="L58" s="11">
        <v>107457.77</v>
      </c>
      <c r="M58" s="11">
        <v>107457.77</v>
      </c>
    </row>
    <row r="59" spans="1:13">
      <c r="A59" s="228"/>
      <c r="B59" s="228"/>
      <c r="C59" s="228"/>
      <c r="D59" s="15" t="s">
        <v>243</v>
      </c>
      <c r="E59" s="16" t="s">
        <v>10</v>
      </c>
      <c r="F59" s="19" t="s">
        <v>10</v>
      </c>
      <c r="G59" s="19" t="s">
        <v>10</v>
      </c>
      <c r="H59" s="20" t="s">
        <v>10</v>
      </c>
      <c r="I59" s="20" t="s">
        <v>10</v>
      </c>
      <c r="J59" s="20" t="s">
        <v>10</v>
      </c>
      <c r="K59" s="11">
        <v>0</v>
      </c>
      <c r="L59" s="11">
        <v>103.63</v>
      </c>
      <c r="M59" s="11">
        <v>193.74</v>
      </c>
    </row>
    <row r="60" spans="1:13" ht="46.5" customHeight="1">
      <c r="A60" s="72" t="s">
        <v>18</v>
      </c>
      <c r="B60" s="127" t="s">
        <v>162</v>
      </c>
      <c r="C60" s="72" t="s">
        <v>10</v>
      </c>
      <c r="D60" s="78" t="s">
        <v>161</v>
      </c>
      <c r="E60" s="70" t="s">
        <v>33</v>
      </c>
      <c r="F60" s="75" t="s">
        <v>13</v>
      </c>
      <c r="G60" s="75">
        <v>4</v>
      </c>
      <c r="H60" s="72" t="s">
        <v>10</v>
      </c>
      <c r="I60" s="73">
        <f>I61+I62+I63+I64</f>
        <v>1</v>
      </c>
      <c r="J60" s="73">
        <f>J61+J62+J63+J64</f>
        <v>1</v>
      </c>
      <c r="K60" s="71">
        <f>K61+K62+K63+K64+K65</f>
        <v>16138.990000000002</v>
      </c>
      <c r="L60" s="71">
        <f t="shared" ref="L60:M60" si="10">L61+L62+L63+L64+L65</f>
        <v>2685</v>
      </c>
      <c r="M60" s="71">
        <f t="shared" si="10"/>
        <v>2685</v>
      </c>
    </row>
    <row r="61" spans="1:13" ht="235.5" customHeight="1">
      <c r="A61" s="225" t="s">
        <v>18</v>
      </c>
      <c r="B61" s="220" t="s">
        <v>162</v>
      </c>
      <c r="C61" s="220" t="s">
        <v>26</v>
      </c>
      <c r="D61" s="24" t="s">
        <v>274</v>
      </c>
      <c r="E61" s="16" t="s">
        <v>15</v>
      </c>
      <c r="F61" s="31" t="s">
        <v>13</v>
      </c>
      <c r="G61" s="136">
        <v>1</v>
      </c>
      <c r="H61" s="6" t="s">
        <v>145</v>
      </c>
      <c r="I61" s="156">
        <v>0</v>
      </c>
      <c r="J61" s="156">
        <v>0</v>
      </c>
      <c r="K61" s="11">
        <v>1655.13</v>
      </c>
      <c r="L61" s="11">
        <v>0</v>
      </c>
      <c r="M61" s="11">
        <v>0</v>
      </c>
    </row>
    <row r="62" spans="1:13" ht="31.5">
      <c r="A62" s="226"/>
      <c r="B62" s="221"/>
      <c r="C62" s="221"/>
      <c r="D62" s="24" t="s">
        <v>163</v>
      </c>
      <c r="E62" s="16" t="s">
        <v>15</v>
      </c>
      <c r="F62" s="40" t="s">
        <v>13</v>
      </c>
      <c r="G62" s="20" t="s">
        <v>95</v>
      </c>
      <c r="H62" s="6" t="s">
        <v>145</v>
      </c>
      <c r="I62" s="156">
        <v>1</v>
      </c>
      <c r="J62" s="156">
        <v>1</v>
      </c>
      <c r="K62" s="11">
        <v>0</v>
      </c>
      <c r="L62" s="11">
        <v>2685</v>
      </c>
      <c r="M62" s="11">
        <v>2685</v>
      </c>
    </row>
    <row r="63" spans="1:13" ht="169.5" customHeight="1">
      <c r="A63" s="226"/>
      <c r="B63" s="221"/>
      <c r="C63" s="221"/>
      <c r="D63" s="16" t="s">
        <v>308</v>
      </c>
      <c r="E63" s="16" t="s">
        <v>15</v>
      </c>
      <c r="F63" s="10" t="s">
        <v>13</v>
      </c>
      <c r="G63" s="19">
        <v>1</v>
      </c>
      <c r="H63" s="6" t="s">
        <v>145</v>
      </c>
      <c r="I63" s="157">
        <v>0</v>
      </c>
      <c r="J63" s="157">
        <v>0</v>
      </c>
      <c r="K63" s="11">
        <v>1095</v>
      </c>
      <c r="L63" s="11">
        <v>0</v>
      </c>
      <c r="M63" s="11">
        <v>0</v>
      </c>
    </row>
    <row r="64" spans="1:13" ht="81" customHeight="1">
      <c r="A64" s="226"/>
      <c r="B64" s="221"/>
      <c r="C64" s="221"/>
      <c r="D64" s="16" t="s">
        <v>372</v>
      </c>
      <c r="E64" s="12" t="s">
        <v>15</v>
      </c>
      <c r="F64" s="10" t="s">
        <v>13</v>
      </c>
      <c r="G64" s="19">
        <v>1</v>
      </c>
      <c r="H64" s="6" t="s">
        <v>145</v>
      </c>
      <c r="I64" s="157">
        <v>0</v>
      </c>
      <c r="J64" s="157">
        <v>0</v>
      </c>
      <c r="K64" s="11">
        <v>5839.52</v>
      </c>
      <c r="L64" s="11">
        <v>0</v>
      </c>
      <c r="M64" s="11">
        <v>0</v>
      </c>
    </row>
    <row r="65" spans="1:13" ht="43.5" customHeight="1">
      <c r="A65" s="226"/>
      <c r="B65" s="221"/>
      <c r="C65" s="221"/>
      <c r="D65" s="16" t="s">
        <v>307</v>
      </c>
      <c r="E65" s="12" t="s">
        <v>15</v>
      </c>
      <c r="F65" s="10" t="s">
        <v>13</v>
      </c>
      <c r="G65" s="19">
        <v>1</v>
      </c>
      <c r="H65" s="6" t="s">
        <v>145</v>
      </c>
      <c r="I65" s="157">
        <v>0</v>
      </c>
      <c r="J65" s="157">
        <v>0</v>
      </c>
      <c r="K65" s="11">
        <v>7549.34</v>
      </c>
      <c r="L65" s="11">
        <v>0</v>
      </c>
      <c r="M65" s="11">
        <v>0</v>
      </c>
    </row>
    <row r="66" spans="1:13" ht="31.5">
      <c r="A66" s="72" t="s">
        <v>18</v>
      </c>
      <c r="B66" s="127" t="s">
        <v>164</v>
      </c>
      <c r="C66" s="72" t="s">
        <v>10</v>
      </c>
      <c r="D66" s="70" t="s">
        <v>165</v>
      </c>
      <c r="E66" s="70" t="s">
        <v>19</v>
      </c>
      <c r="F66" s="75" t="s">
        <v>20</v>
      </c>
      <c r="G66" s="75">
        <v>58</v>
      </c>
      <c r="H66" s="72" t="s">
        <v>10</v>
      </c>
      <c r="I66" s="72" t="s">
        <v>166</v>
      </c>
      <c r="J66" s="72" t="s">
        <v>167</v>
      </c>
      <c r="K66" s="71">
        <f>K67+K68</f>
        <v>16647.429999999997</v>
      </c>
      <c r="L66" s="71">
        <f t="shared" ref="L66:M66" si="11">L67+L68</f>
        <v>18276.57</v>
      </c>
      <c r="M66" s="71">
        <f t="shared" si="11"/>
        <v>18297.04</v>
      </c>
    </row>
    <row r="67" spans="1:13" ht="31.5">
      <c r="A67" s="227" t="s">
        <v>18</v>
      </c>
      <c r="B67" s="227" t="s">
        <v>164</v>
      </c>
      <c r="C67" s="227" t="s">
        <v>27</v>
      </c>
      <c r="D67" s="16" t="s">
        <v>165</v>
      </c>
      <c r="E67" s="16" t="s">
        <v>19</v>
      </c>
      <c r="F67" s="19" t="s">
        <v>20</v>
      </c>
      <c r="G67" s="19">
        <v>58</v>
      </c>
      <c r="H67" s="20" t="s">
        <v>145</v>
      </c>
      <c r="I67" s="20" t="s">
        <v>166</v>
      </c>
      <c r="J67" s="20" t="s">
        <v>167</v>
      </c>
      <c r="K67" s="11">
        <f>16642.67+4.76</f>
        <v>16647.429999999997</v>
      </c>
      <c r="L67" s="11">
        <v>18252.54</v>
      </c>
      <c r="M67" s="11">
        <v>18252.55</v>
      </c>
    </row>
    <row r="68" spans="1:13">
      <c r="A68" s="228"/>
      <c r="B68" s="228"/>
      <c r="C68" s="228"/>
      <c r="D68" s="16" t="s">
        <v>243</v>
      </c>
      <c r="E68" s="19" t="s">
        <v>10</v>
      </c>
      <c r="F68" s="19" t="s">
        <v>10</v>
      </c>
      <c r="G68" s="19" t="s">
        <v>10</v>
      </c>
      <c r="H68" s="20" t="s">
        <v>10</v>
      </c>
      <c r="I68" s="20" t="s">
        <v>10</v>
      </c>
      <c r="J68" s="20" t="s">
        <v>10</v>
      </c>
      <c r="K68" s="11">
        <v>0</v>
      </c>
      <c r="L68" s="11">
        <v>24.03</v>
      </c>
      <c r="M68" s="11">
        <v>44.49</v>
      </c>
    </row>
    <row r="69" spans="1:13">
      <c r="A69" s="72" t="s">
        <v>18</v>
      </c>
      <c r="B69" s="127" t="s">
        <v>169</v>
      </c>
      <c r="C69" s="72" t="s">
        <v>10</v>
      </c>
      <c r="D69" s="70" t="s">
        <v>168</v>
      </c>
      <c r="E69" s="70" t="s">
        <v>33</v>
      </c>
      <c r="F69" s="75" t="s">
        <v>13</v>
      </c>
      <c r="G69" s="75">
        <v>5</v>
      </c>
      <c r="H69" s="72" t="s">
        <v>10</v>
      </c>
      <c r="I69" s="75">
        <v>4</v>
      </c>
      <c r="J69" s="75">
        <f>J71+J73+J78</f>
        <v>3</v>
      </c>
      <c r="K69" s="71">
        <f>K70+K71+K72+K73+K74+K76+K77+K78+K80+K79+K75</f>
        <v>4034.06</v>
      </c>
      <c r="L69" s="71">
        <f t="shared" ref="L69:M69" si="12">L70+L71+L72+L73+L74+L76+L77+L78+L80+L79</f>
        <v>3350</v>
      </c>
      <c r="M69" s="71">
        <f t="shared" si="12"/>
        <v>2644.7200000000003</v>
      </c>
    </row>
    <row r="70" spans="1:13" ht="47.25" customHeight="1">
      <c r="A70" s="225" t="s">
        <v>18</v>
      </c>
      <c r="B70" s="225" t="s">
        <v>169</v>
      </c>
      <c r="C70" s="225" t="s">
        <v>27</v>
      </c>
      <c r="D70" s="16" t="s">
        <v>170</v>
      </c>
      <c r="E70" s="16" t="s">
        <v>33</v>
      </c>
      <c r="F70" s="10" t="s">
        <v>13</v>
      </c>
      <c r="G70" s="10">
        <v>1</v>
      </c>
      <c r="H70" s="6" t="s">
        <v>145</v>
      </c>
      <c r="I70" s="8" t="s">
        <v>95</v>
      </c>
      <c r="J70" s="8" t="s">
        <v>95</v>
      </c>
      <c r="K70" s="11">
        <v>535.94000000000005</v>
      </c>
      <c r="L70" s="11">
        <v>0</v>
      </c>
      <c r="M70" s="11">
        <v>0</v>
      </c>
    </row>
    <row r="71" spans="1:13" ht="31.5">
      <c r="A71" s="226"/>
      <c r="B71" s="226"/>
      <c r="C71" s="226"/>
      <c r="D71" s="7" t="s">
        <v>111</v>
      </c>
      <c r="E71" s="16" t="s">
        <v>16</v>
      </c>
      <c r="F71" s="10" t="s">
        <v>13</v>
      </c>
      <c r="G71" s="2">
        <v>0</v>
      </c>
      <c r="H71" s="20" t="s">
        <v>10</v>
      </c>
      <c r="I71" s="8">
        <v>1</v>
      </c>
      <c r="J71" s="8">
        <v>0</v>
      </c>
      <c r="K71" s="11">
        <v>0</v>
      </c>
      <c r="L71" s="11">
        <v>1000</v>
      </c>
      <c r="M71" s="11">
        <v>0</v>
      </c>
    </row>
    <row r="72" spans="1:13" ht="31.5">
      <c r="A72" s="226"/>
      <c r="B72" s="226"/>
      <c r="C72" s="226"/>
      <c r="D72" s="7" t="s">
        <v>171</v>
      </c>
      <c r="E72" s="16" t="s">
        <v>33</v>
      </c>
      <c r="F72" s="10" t="s">
        <v>13</v>
      </c>
      <c r="G72" s="40">
        <v>0</v>
      </c>
      <c r="H72" s="20" t="s">
        <v>10</v>
      </c>
      <c r="I72" s="8" t="s">
        <v>95</v>
      </c>
      <c r="J72" s="8" t="s">
        <v>62</v>
      </c>
      <c r="K72" s="11">
        <v>0</v>
      </c>
      <c r="L72" s="11">
        <v>0</v>
      </c>
      <c r="M72" s="11">
        <v>1000</v>
      </c>
    </row>
    <row r="73" spans="1:13" ht="31.5">
      <c r="A73" s="226"/>
      <c r="B73" s="226"/>
      <c r="C73" s="226"/>
      <c r="D73" s="1" t="s">
        <v>275</v>
      </c>
      <c r="E73" s="26" t="s">
        <v>287</v>
      </c>
      <c r="F73" s="33" t="s">
        <v>13</v>
      </c>
      <c r="G73" s="87">
        <v>1</v>
      </c>
      <c r="H73" s="166" t="s">
        <v>145</v>
      </c>
      <c r="I73" s="167" t="s">
        <v>95</v>
      </c>
      <c r="J73" s="167" t="s">
        <v>95</v>
      </c>
      <c r="K73" s="135">
        <v>1795</v>
      </c>
      <c r="L73" s="135">
        <v>0</v>
      </c>
      <c r="M73" s="135">
        <v>0</v>
      </c>
    </row>
    <row r="74" spans="1:13" ht="31.5">
      <c r="A74" s="226"/>
      <c r="B74" s="226"/>
      <c r="C74" s="226"/>
      <c r="D74" s="7" t="s">
        <v>373</v>
      </c>
      <c r="E74" s="16" t="s">
        <v>208</v>
      </c>
      <c r="F74" s="33" t="s">
        <v>13</v>
      </c>
      <c r="G74" s="54">
        <v>1</v>
      </c>
      <c r="H74" s="166" t="s">
        <v>145</v>
      </c>
      <c r="I74" s="8" t="s">
        <v>95</v>
      </c>
      <c r="J74" s="8" t="s">
        <v>95</v>
      </c>
      <c r="K74" s="11">
        <v>600</v>
      </c>
      <c r="L74" s="11">
        <v>0</v>
      </c>
      <c r="M74" s="11">
        <v>0</v>
      </c>
    </row>
    <row r="75" spans="1:13" ht="47.25">
      <c r="A75" s="226"/>
      <c r="B75" s="226"/>
      <c r="C75" s="226"/>
      <c r="D75" s="7" t="s">
        <v>349</v>
      </c>
      <c r="E75" s="16" t="s">
        <v>350</v>
      </c>
      <c r="F75" s="33" t="s">
        <v>13</v>
      </c>
      <c r="G75" s="87">
        <v>1</v>
      </c>
      <c r="H75" s="189" t="s">
        <v>145</v>
      </c>
      <c r="I75" s="188" t="s">
        <v>95</v>
      </c>
      <c r="J75" s="188" t="s">
        <v>95</v>
      </c>
      <c r="K75" s="135">
        <v>375</v>
      </c>
      <c r="L75" s="135">
        <v>0</v>
      </c>
      <c r="M75" s="135">
        <v>0</v>
      </c>
    </row>
    <row r="76" spans="1:13" ht="47.25">
      <c r="A76" s="226"/>
      <c r="B76" s="226"/>
      <c r="C76" s="226"/>
      <c r="D76" s="5" t="s">
        <v>309</v>
      </c>
      <c r="E76" s="26" t="s">
        <v>33</v>
      </c>
      <c r="F76" s="33" t="s">
        <v>13</v>
      </c>
      <c r="G76" s="87">
        <v>1</v>
      </c>
      <c r="H76" s="166" t="s">
        <v>145</v>
      </c>
      <c r="I76" s="167" t="s">
        <v>95</v>
      </c>
      <c r="J76" s="167" t="s">
        <v>95</v>
      </c>
      <c r="K76" s="135">
        <v>728.12</v>
      </c>
      <c r="L76" s="135">
        <v>0</v>
      </c>
      <c r="M76" s="135">
        <v>0</v>
      </c>
    </row>
    <row r="77" spans="1:13" ht="34.5" customHeight="1">
      <c r="A77" s="226"/>
      <c r="B77" s="226"/>
      <c r="C77" s="226"/>
      <c r="D77" s="5" t="s">
        <v>318</v>
      </c>
      <c r="E77" s="16" t="s">
        <v>321</v>
      </c>
      <c r="F77" s="33" t="s">
        <v>13</v>
      </c>
      <c r="G77" s="54" t="s">
        <v>10</v>
      </c>
      <c r="H77" s="170" t="s">
        <v>10</v>
      </c>
      <c r="I77" s="8" t="s">
        <v>322</v>
      </c>
      <c r="J77" s="8" t="s">
        <v>95</v>
      </c>
      <c r="K77" s="11">
        <v>0</v>
      </c>
      <c r="L77" s="11">
        <v>275</v>
      </c>
      <c r="M77" s="11">
        <v>0</v>
      </c>
    </row>
    <row r="78" spans="1:13" ht="45" customHeight="1">
      <c r="A78" s="226"/>
      <c r="B78" s="226"/>
      <c r="C78" s="226"/>
      <c r="D78" s="5" t="s">
        <v>319</v>
      </c>
      <c r="E78" s="16" t="s">
        <v>16</v>
      </c>
      <c r="F78" s="33" t="s">
        <v>13</v>
      </c>
      <c r="G78" s="54" t="s">
        <v>10</v>
      </c>
      <c r="H78" s="6" t="s">
        <v>10</v>
      </c>
      <c r="I78" s="8" t="s">
        <v>62</v>
      </c>
      <c r="J78" s="8" t="s">
        <v>8</v>
      </c>
      <c r="K78" s="11">
        <v>0</v>
      </c>
      <c r="L78" s="11">
        <v>73.430000000000007</v>
      </c>
      <c r="M78" s="11">
        <v>244.72</v>
      </c>
    </row>
    <row r="79" spans="1:13" ht="45" customHeight="1">
      <c r="A79" s="226"/>
      <c r="B79" s="226"/>
      <c r="C79" s="226"/>
      <c r="D79" s="5" t="s">
        <v>320</v>
      </c>
      <c r="E79" s="26" t="s">
        <v>33</v>
      </c>
      <c r="F79" s="33" t="s">
        <v>13</v>
      </c>
      <c r="G79" s="54" t="s">
        <v>10</v>
      </c>
      <c r="H79" s="6" t="s">
        <v>10</v>
      </c>
      <c r="I79" s="8">
        <v>1</v>
      </c>
      <c r="J79" s="8">
        <v>0</v>
      </c>
      <c r="K79" s="11">
        <v>0</v>
      </c>
      <c r="L79" s="11">
        <v>2001.57</v>
      </c>
      <c r="M79" s="11">
        <v>0</v>
      </c>
    </row>
    <row r="80" spans="1:13" ht="53.25" customHeight="1">
      <c r="A80" s="229"/>
      <c r="B80" s="229"/>
      <c r="C80" s="229"/>
      <c r="D80" s="37" t="s">
        <v>323</v>
      </c>
      <c r="E80" s="26" t="s">
        <v>324</v>
      </c>
      <c r="F80" s="33" t="s">
        <v>13</v>
      </c>
      <c r="G80" s="54" t="s">
        <v>10</v>
      </c>
      <c r="H80" s="6" t="s">
        <v>10</v>
      </c>
      <c r="I80" s="8" t="s">
        <v>95</v>
      </c>
      <c r="J80" s="8" t="s">
        <v>325</v>
      </c>
      <c r="K80" s="11">
        <v>0</v>
      </c>
      <c r="L80" s="11">
        <v>0</v>
      </c>
      <c r="M80" s="11">
        <v>1400</v>
      </c>
    </row>
    <row r="81" spans="1:14" ht="31.5">
      <c r="A81" s="219" t="s">
        <v>28</v>
      </c>
      <c r="B81" s="266" t="s">
        <v>10</v>
      </c>
      <c r="C81" s="224" t="s">
        <v>10</v>
      </c>
      <c r="D81" s="270" t="s">
        <v>29</v>
      </c>
      <c r="E81" s="102" t="s">
        <v>124</v>
      </c>
      <c r="F81" s="76" t="s">
        <v>30</v>
      </c>
      <c r="G81" s="82">
        <f>G83</f>
        <v>29084</v>
      </c>
      <c r="H81" s="77" t="s">
        <v>10</v>
      </c>
      <c r="I81" s="82">
        <f t="shared" ref="I81:J81" si="13">I83</f>
        <v>29084</v>
      </c>
      <c r="J81" s="82">
        <f t="shared" si="13"/>
        <v>29084</v>
      </c>
      <c r="K81" s="230">
        <f>K83+K86</f>
        <v>153897.95000000001</v>
      </c>
      <c r="L81" s="230">
        <f t="shared" ref="L81:M81" si="14">L83+L86</f>
        <v>111529.09</v>
      </c>
      <c r="M81" s="230">
        <f t="shared" si="14"/>
        <v>47044.26</v>
      </c>
    </row>
    <row r="82" spans="1:14" ht="31.5">
      <c r="A82" s="219"/>
      <c r="B82" s="268"/>
      <c r="C82" s="273"/>
      <c r="D82" s="271"/>
      <c r="E82" s="102" t="s">
        <v>125</v>
      </c>
      <c r="F82" s="77" t="s">
        <v>13</v>
      </c>
      <c r="G82" s="107">
        <v>3</v>
      </c>
      <c r="H82" s="77" t="s">
        <v>10</v>
      </c>
      <c r="I82" s="107">
        <v>3</v>
      </c>
      <c r="J82" s="107">
        <v>3</v>
      </c>
      <c r="K82" s="232"/>
      <c r="L82" s="232"/>
      <c r="M82" s="232"/>
    </row>
    <row r="83" spans="1:14" ht="31.5">
      <c r="A83" s="72" t="s">
        <v>28</v>
      </c>
      <c r="B83" s="72" t="s">
        <v>183</v>
      </c>
      <c r="C83" s="72" t="s">
        <v>10</v>
      </c>
      <c r="D83" s="78" t="s">
        <v>31</v>
      </c>
      <c r="E83" s="75" t="s">
        <v>124</v>
      </c>
      <c r="F83" s="75" t="s">
        <v>30</v>
      </c>
      <c r="G83" s="79">
        <f>G84</f>
        <v>29084</v>
      </c>
      <c r="H83" s="79" t="s">
        <v>10</v>
      </c>
      <c r="I83" s="79">
        <f t="shared" ref="I83:J83" si="15">I84</f>
        <v>29084</v>
      </c>
      <c r="J83" s="79">
        <f t="shared" si="15"/>
        <v>29084</v>
      </c>
      <c r="K83" s="71">
        <f>K84+K85</f>
        <v>43343.23</v>
      </c>
      <c r="L83" s="71">
        <f>L84+L85</f>
        <v>46296.86</v>
      </c>
      <c r="M83" s="71">
        <f>M84+M85</f>
        <v>46444.26</v>
      </c>
    </row>
    <row r="84" spans="1:14" ht="31.5">
      <c r="A84" s="227" t="s">
        <v>28</v>
      </c>
      <c r="B84" s="227" t="s">
        <v>183</v>
      </c>
      <c r="C84" s="227" t="s">
        <v>32</v>
      </c>
      <c r="D84" s="15" t="s">
        <v>31</v>
      </c>
      <c r="E84" s="16" t="s">
        <v>124</v>
      </c>
      <c r="F84" s="19" t="s">
        <v>30</v>
      </c>
      <c r="G84" s="23">
        <v>29084</v>
      </c>
      <c r="H84" s="20" t="s">
        <v>186</v>
      </c>
      <c r="I84" s="23">
        <v>29084</v>
      </c>
      <c r="J84" s="23">
        <v>29084</v>
      </c>
      <c r="K84" s="11">
        <f>43328.07+15.16</f>
        <v>43343.23</v>
      </c>
      <c r="L84" s="11">
        <v>46220.15</v>
      </c>
      <c r="M84" s="11">
        <v>46304.3</v>
      </c>
      <c r="N84" s="13"/>
    </row>
    <row r="85" spans="1:14">
      <c r="A85" s="228"/>
      <c r="B85" s="228"/>
      <c r="C85" s="228"/>
      <c r="D85" s="15" t="s">
        <v>243</v>
      </c>
      <c r="E85" s="19" t="s">
        <v>10</v>
      </c>
      <c r="F85" s="19" t="s">
        <v>10</v>
      </c>
      <c r="G85" s="23" t="s">
        <v>10</v>
      </c>
      <c r="H85" s="20" t="s">
        <v>10</v>
      </c>
      <c r="I85" s="23" t="s">
        <v>10</v>
      </c>
      <c r="J85" s="23" t="s">
        <v>10</v>
      </c>
      <c r="K85" s="11">
        <v>0</v>
      </c>
      <c r="L85" s="11">
        <v>76.709999999999994</v>
      </c>
      <c r="M85" s="11">
        <v>139.96</v>
      </c>
    </row>
    <row r="86" spans="1:14">
      <c r="A86" s="72" t="s">
        <v>28</v>
      </c>
      <c r="B86" s="72" t="s">
        <v>185</v>
      </c>
      <c r="C86" s="72" t="s">
        <v>10</v>
      </c>
      <c r="D86" s="78" t="s">
        <v>184</v>
      </c>
      <c r="E86" s="78" t="s">
        <v>33</v>
      </c>
      <c r="F86" s="75" t="s">
        <v>13</v>
      </c>
      <c r="G86" s="75">
        <v>23</v>
      </c>
      <c r="H86" s="75" t="s">
        <v>10</v>
      </c>
      <c r="I86" s="75">
        <v>6</v>
      </c>
      <c r="J86" s="75">
        <v>1</v>
      </c>
      <c r="K86" s="80">
        <f>SUM(K87:K114)</f>
        <v>110554.72</v>
      </c>
      <c r="L86" s="80">
        <f>SUM(L88:L115)</f>
        <v>65232.23</v>
      </c>
      <c r="M86" s="80">
        <f>M88+M90+M93+M94+M95+M96+M91+M92</f>
        <v>600</v>
      </c>
    </row>
    <row r="87" spans="1:14" ht="146.25" customHeight="1">
      <c r="A87" s="225" t="s">
        <v>28</v>
      </c>
      <c r="B87" s="225" t="s">
        <v>185</v>
      </c>
      <c r="C87" s="225" t="s">
        <v>32</v>
      </c>
      <c r="D87" s="26" t="s">
        <v>374</v>
      </c>
      <c r="E87" s="12" t="s">
        <v>15</v>
      </c>
      <c r="F87" s="10" t="s">
        <v>13</v>
      </c>
      <c r="G87" s="10">
        <v>1</v>
      </c>
      <c r="H87" s="202" t="s">
        <v>186</v>
      </c>
      <c r="I87" s="199" t="s">
        <v>95</v>
      </c>
      <c r="J87" s="199" t="s">
        <v>95</v>
      </c>
      <c r="K87" s="11">
        <v>85006.43</v>
      </c>
      <c r="L87" s="11">
        <v>0</v>
      </c>
      <c r="M87" s="11">
        <v>0</v>
      </c>
    </row>
    <row r="88" spans="1:14" ht="47.25">
      <c r="A88" s="226"/>
      <c r="B88" s="226"/>
      <c r="C88" s="226"/>
      <c r="D88" s="26" t="s">
        <v>375</v>
      </c>
      <c r="E88" s="12" t="s">
        <v>15</v>
      </c>
      <c r="F88" s="10" t="s">
        <v>13</v>
      </c>
      <c r="G88" s="10">
        <v>1</v>
      </c>
      <c r="H88" s="8" t="s">
        <v>186</v>
      </c>
      <c r="I88" s="53" t="s">
        <v>95</v>
      </c>
      <c r="J88" s="42" t="s">
        <v>95</v>
      </c>
      <c r="K88" s="11">
        <v>129.74</v>
      </c>
      <c r="L88" s="11">
        <v>0</v>
      </c>
      <c r="M88" s="11">
        <v>0</v>
      </c>
    </row>
    <row r="89" spans="1:14" ht="31.5">
      <c r="A89" s="226"/>
      <c r="B89" s="226"/>
      <c r="C89" s="226"/>
      <c r="D89" s="26" t="s">
        <v>376</v>
      </c>
      <c r="E89" s="12" t="s">
        <v>15</v>
      </c>
      <c r="F89" s="10" t="s">
        <v>13</v>
      </c>
      <c r="G89" s="10">
        <v>1</v>
      </c>
      <c r="H89" s="202" t="s">
        <v>186</v>
      </c>
      <c r="I89" s="199" t="s">
        <v>95</v>
      </c>
      <c r="J89" s="199" t="s">
        <v>95</v>
      </c>
      <c r="K89" s="11">
        <v>2427.3000000000002</v>
      </c>
      <c r="L89" s="11">
        <v>0</v>
      </c>
      <c r="M89" s="11">
        <v>0</v>
      </c>
    </row>
    <row r="90" spans="1:14" ht="31.5">
      <c r="A90" s="226"/>
      <c r="B90" s="226"/>
      <c r="C90" s="226"/>
      <c r="D90" s="26" t="s">
        <v>108</v>
      </c>
      <c r="E90" s="12" t="s">
        <v>16</v>
      </c>
      <c r="F90" s="10" t="s">
        <v>13</v>
      </c>
      <c r="G90" s="10">
        <v>10</v>
      </c>
      <c r="H90" s="8" t="s">
        <v>186</v>
      </c>
      <c r="I90" s="46" t="s">
        <v>95</v>
      </c>
      <c r="J90" s="59" t="s">
        <v>95</v>
      </c>
      <c r="K90" s="11">
        <v>580</v>
      </c>
      <c r="L90" s="11">
        <v>0</v>
      </c>
      <c r="M90" s="11">
        <v>0</v>
      </c>
    </row>
    <row r="91" spans="1:14" ht="31.5">
      <c r="A91" s="226"/>
      <c r="B91" s="226"/>
      <c r="C91" s="226"/>
      <c r="D91" s="26" t="s">
        <v>276</v>
      </c>
      <c r="E91" s="12" t="s">
        <v>109</v>
      </c>
      <c r="F91" s="10" t="s">
        <v>13</v>
      </c>
      <c r="G91" s="33">
        <v>1</v>
      </c>
      <c r="H91" s="8" t="s">
        <v>186</v>
      </c>
      <c r="I91" s="151" t="s">
        <v>95</v>
      </c>
      <c r="J91" s="151" t="s">
        <v>95</v>
      </c>
      <c r="K91" s="11">
        <v>80</v>
      </c>
      <c r="L91" s="11">
        <v>0</v>
      </c>
      <c r="M91" s="11">
        <v>0</v>
      </c>
    </row>
    <row r="92" spans="1:14" ht="31.5">
      <c r="A92" s="226"/>
      <c r="B92" s="226"/>
      <c r="C92" s="226"/>
      <c r="D92" s="26" t="s">
        <v>277</v>
      </c>
      <c r="E92" s="12" t="s">
        <v>16</v>
      </c>
      <c r="F92" s="10" t="s">
        <v>13</v>
      </c>
      <c r="G92" s="33">
        <v>1</v>
      </c>
      <c r="H92" s="8" t="s">
        <v>186</v>
      </c>
      <c r="I92" s="151" t="s">
        <v>95</v>
      </c>
      <c r="J92" s="151" t="s">
        <v>95</v>
      </c>
      <c r="K92" s="11">
        <v>200</v>
      </c>
      <c r="L92" s="11">
        <v>0</v>
      </c>
      <c r="M92" s="11">
        <v>0</v>
      </c>
    </row>
    <row r="93" spans="1:14" ht="31.5">
      <c r="A93" s="226"/>
      <c r="B93" s="226"/>
      <c r="C93" s="226"/>
      <c r="D93" s="26" t="s">
        <v>278</v>
      </c>
      <c r="E93" s="12" t="s">
        <v>16</v>
      </c>
      <c r="F93" s="10" t="s">
        <v>13</v>
      </c>
      <c r="G93" s="33">
        <v>7</v>
      </c>
      <c r="H93" s="8" t="s">
        <v>186</v>
      </c>
      <c r="I93" s="32" t="s">
        <v>95</v>
      </c>
      <c r="J93" s="32" t="s">
        <v>95</v>
      </c>
      <c r="K93" s="11">
        <v>340</v>
      </c>
      <c r="L93" s="11">
        <v>0</v>
      </c>
      <c r="M93" s="11">
        <v>0</v>
      </c>
    </row>
    <row r="94" spans="1:14">
      <c r="A94" s="226"/>
      <c r="B94" s="226"/>
      <c r="C94" s="226"/>
      <c r="D94" s="37" t="s">
        <v>142</v>
      </c>
      <c r="E94" s="12" t="s">
        <v>15</v>
      </c>
      <c r="F94" s="10" t="s">
        <v>13</v>
      </c>
      <c r="G94" s="153" t="s">
        <v>95</v>
      </c>
      <c r="H94" s="20" t="s">
        <v>10</v>
      </c>
      <c r="I94" s="53" t="s">
        <v>62</v>
      </c>
      <c r="J94" s="39">
        <v>0</v>
      </c>
      <c r="K94" s="11">
        <v>0</v>
      </c>
      <c r="L94" s="11">
        <v>63187.23</v>
      </c>
      <c r="M94" s="11">
        <v>0</v>
      </c>
    </row>
    <row r="95" spans="1:14">
      <c r="A95" s="226"/>
      <c r="B95" s="226"/>
      <c r="C95" s="226"/>
      <c r="D95" s="5" t="s">
        <v>103</v>
      </c>
      <c r="E95" s="12" t="s">
        <v>110</v>
      </c>
      <c r="F95" s="10" t="s">
        <v>13</v>
      </c>
      <c r="G95" s="153" t="s">
        <v>95</v>
      </c>
      <c r="H95" s="20" t="s">
        <v>10</v>
      </c>
      <c r="I95" s="154" t="s">
        <v>114</v>
      </c>
      <c r="J95" s="50" t="s">
        <v>95</v>
      </c>
      <c r="K95" s="11">
        <v>0</v>
      </c>
      <c r="L95" s="11">
        <v>600</v>
      </c>
      <c r="M95" s="11">
        <v>0</v>
      </c>
    </row>
    <row r="96" spans="1:14">
      <c r="A96" s="226"/>
      <c r="B96" s="226"/>
      <c r="C96" s="226"/>
      <c r="D96" s="171" t="s">
        <v>187</v>
      </c>
      <c r="E96" s="134" t="s">
        <v>16</v>
      </c>
      <c r="F96" s="33" t="s">
        <v>13</v>
      </c>
      <c r="G96" s="153" t="s">
        <v>95</v>
      </c>
      <c r="H96" s="168" t="s">
        <v>10</v>
      </c>
      <c r="I96" s="50" t="s">
        <v>95</v>
      </c>
      <c r="J96" s="154" t="s">
        <v>87</v>
      </c>
      <c r="K96" s="135">
        <v>0</v>
      </c>
      <c r="L96" s="135">
        <v>0</v>
      </c>
      <c r="M96" s="135">
        <v>600</v>
      </c>
    </row>
    <row r="97" spans="1:13" ht="63">
      <c r="A97" s="226"/>
      <c r="B97" s="226"/>
      <c r="C97" s="226"/>
      <c r="D97" s="5" t="s">
        <v>379</v>
      </c>
      <c r="E97" s="37" t="s">
        <v>208</v>
      </c>
      <c r="F97" s="33" t="s">
        <v>13</v>
      </c>
      <c r="G97" s="200" t="s">
        <v>62</v>
      </c>
      <c r="H97" s="202" t="s">
        <v>186</v>
      </c>
      <c r="I97" s="199">
        <v>0</v>
      </c>
      <c r="J97" s="199">
        <v>0</v>
      </c>
      <c r="K97" s="135">
        <v>295</v>
      </c>
      <c r="L97" s="135">
        <v>0</v>
      </c>
      <c r="M97" s="135">
        <v>0</v>
      </c>
    </row>
    <row r="98" spans="1:13" ht="31.5">
      <c r="A98" s="226"/>
      <c r="B98" s="226"/>
      <c r="C98" s="226"/>
      <c r="D98" s="5" t="s">
        <v>378</v>
      </c>
      <c r="E98" s="5" t="s">
        <v>208</v>
      </c>
      <c r="F98" s="33" t="s">
        <v>13</v>
      </c>
      <c r="G98" s="168" t="s">
        <v>62</v>
      </c>
      <c r="H98" s="8" t="s">
        <v>186</v>
      </c>
      <c r="I98" s="167">
        <v>0</v>
      </c>
      <c r="J98" s="167">
        <v>0</v>
      </c>
      <c r="K98" s="135">
        <v>295</v>
      </c>
      <c r="L98" s="135">
        <v>0</v>
      </c>
      <c r="M98" s="135">
        <v>0</v>
      </c>
    </row>
    <row r="99" spans="1:13" ht="31.5">
      <c r="A99" s="226"/>
      <c r="B99" s="226"/>
      <c r="C99" s="226"/>
      <c r="D99" s="5" t="s">
        <v>312</v>
      </c>
      <c r="E99" s="134" t="s">
        <v>16</v>
      </c>
      <c r="F99" s="33" t="s">
        <v>13</v>
      </c>
      <c r="G99" s="209" t="s">
        <v>62</v>
      </c>
      <c r="H99" s="8" t="s">
        <v>186</v>
      </c>
      <c r="I99" s="167">
        <v>0</v>
      </c>
      <c r="J99" s="167">
        <v>0</v>
      </c>
      <c r="K99" s="135">
        <v>4656.8500000000004</v>
      </c>
      <c r="L99" s="135">
        <v>0</v>
      </c>
      <c r="M99" s="135">
        <v>0</v>
      </c>
    </row>
    <row r="100" spans="1:13" ht="31.5">
      <c r="A100" s="226"/>
      <c r="B100" s="226"/>
      <c r="C100" s="226"/>
      <c r="D100" s="5" t="s">
        <v>313</v>
      </c>
      <c r="E100" s="134" t="s">
        <v>16</v>
      </c>
      <c r="F100" s="33" t="s">
        <v>13</v>
      </c>
      <c r="G100" s="209" t="s">
        <v>62</v>
      </c>
      <c r="H100" s="8" t="s">
        <v>186</v>
      </c>
      <c r="I100" s="167">
        <v>0</v>
      </c>
      <c r="J100" s="167">
        <v>0</v>
      </c>
      <c r="K100" s="135">
        <v>267.83</v>
      </c>
      <c r="L100" s="135">
        <v>0</v>
      </c>
      <c r="M100" s="135">
        <v>0</v>
      </c>
    </row>
    <row r="101" spans="1:13" ht="48.75" customHeight="1">
      <c r="A101" s="226"/>
      <c r="B101" s="226"/>
      <c r="C101" s="226"/>
      <c r="D101" s="5" t="s">
        <v>314</v>
      </c>
      <c r="E101" s="134" t="s">
        <v>16</v>
      </c>
      <c r="F101" s="33" t="s">
        <v>13</v>
      </c>
      <c r="G101" s="209" t="s">
        <v>62</v>
      </c>
      <c r="H101" s="8" t="s">
        <v>186</v>
      </c>
      <c r="I101" s="167">
        <v>0</v>
      </c>
      <c r="J101" s="167">
        <v>0</v>
      </c>
      <c r="K101" s="135">
        <v>5070</v>
      </c>
      <c r="L101" s="135">
        <v>0</v>
      </c>
      <c r="M101" s="135">
        <v>0</v>
      </c>
    </row>
    <row r="102" spans="1:13" ht="31.5">
      <c r="A102" s="226"/>
      <c r="B102" s="226"/>
      <c r="C102" s="226"/>
      <c r="D102" s="5" t="s">
        <v>315</v>
      </c>
      <c r="E102" s="12" t="s">
        <v>33</v>
      </c>
      <c r="F102" s="33" t="s">
        <v>13</v>
      </c>
      <c r="G102" s="217" t="s">
        <v>62</v>
      </c>
      <c r="H102" s="8" t="s">
        <v>186</v>
      </c>
      <c r="I102" s="167">
        <v>0</v>
      </c>
      <c r="J102" s="167">
        <v>0</v>
      </c>
      <c r="K102" s="135">
        <v>6891.6</v>
      </c>
      <c r="L102" s="135">
        <v>0</v>
      </c>
      <c r="M102" s="135">
        <v>0</v>
      </c>
    </row>
    <row r="103" spans="1:13" ht="31.5">
      <c r="A103" s="226"/>
      <c r="B103" s="226"/>
      <c r="C103" s="226"/>
      <c r="D103" s="5" t="s">
        <v>316</v>
      </c>
      <c r="E103" s="134" t="s">
        <v>16</v>
      </c>
      <c r="F103" s="33" t="s">
        <v>13</v>
      </c>
      <c r="G103" s="217" t="s">
        <v>62</v>
      </c>
      <c r="H103" s="8" t="s">
        <v>186</v>
      </c>
      <c r="I103" s="167">
        <v>0</v>
      </c>
      <c r="J103" s="167">
        <v>0</v>
      </c>
      <c r="K103" s="135">
        <v>1152.0999999999999</v>
      </c>
      <c r="L103" s="135">
        <v>0</v>
      </c>
      <c r="M103" s="135">
        <v>0</v>
      </c>
    </row>
    <row r="104" spans="1:13" ht="31.5">
      <c r="A104" s="226"/>
      <c r="B104" s="226"/>
      <c r="C104" s="226"/>
      <c r="D104" s="5" t="s">
        <v>351</v>
      </c>
      <c r="E104" s="134" t="s">
        <v>16</v>
      </c>
      <c r="F104" s="33" t="s">
        <v>13</v>
      </c>
      <c r="G104" s="209" t="s">
        <v>62</v>
      </c>
      <c r="H104" s="8" t="s">
        <v>186</v>
      </c>
      <c r="I104" s="167">
        <v>0</v>
      </c>
      <c r="J104" s="167">
        <v>0</v>
      </c>
      <c r="K104" s="135">
        <v>60</v>
      </c>
      <c r="L104" s="135">
        <v>0</v>
      </c>
      <c r="M104" s="135">
        <v>0</v>
      </c>
    </row>
    <row r="105" spans="1:13" ht="31.5">
      <c r="A105" s="226"/>
      <c r="B105" s="226"/>
      <c r="C105" s="226"/>
      <c r="D105" s="5" t="s">
        <v>352</v>
      </c>
      <c r="E105" s="12" t="s">
        <v>385</v>
      </c>
      <c r="F105" s="33" t="s">
        <v>13</v>
      </c>
      <c r="G105" s="190" t="s">
        <v>62</v>
      </c>
      <c r="H105" s="8" t="s">
        <v>186</v>
      </c>
      <c r="I105" s="188" t="s">
        <v>95</v>
      </c>
      <c r="J105" s="188" t="s">
        <v>95</v>
      </c>
      <c r="K105" s="135">
        <v>15</v>
      </c>
      <c r="L105" s="135">
        <v>0</v>
      </c>
      <c r="M105" s="135">
        <v>0</v>
      </c>
    </row>
    <row r="106" spans="1:13" ht="31.5">
      <c r="A106" s="226"/>
      <c r="B106" s="226"/>
      <c r="C106" s="226"/>
      <c r="D106" s="5" t="s">
        <v>353</v>
      </c>
      <c r="E106" s="12" t="s">
        <v>33</v>
      </c>
      <c r="F106" s="33" t="s">
        <v>13</v>
      </c>
      <c r="G106" s="190" t="s">
        <v>62</v>
      </c>
      <c r="H106" s="8" t="s">
        <v>186</v>
      </c>
      <c r="I106" s="188" t="s">
        <v>95</v>
      </c>
      <c r="J106" s="188" t="s">
        <v>95</v>
      </c>
      <c r="K106" s="135">
        <v>120.45</v>
      </c>
      <c r="L106" s="135">
        <v>0</v>
      </c>
      <c r="M106" s="135">
        <v>0</v>
      </c>
    </row>
    <row r="107" spans="1:13" ht="31.5">
      <c r="A107" s="226"/>
      <c r="B107" s="226"/>
      <c r="C107" s="226"/>
      <c r="D107" s="5" t="s">
        <v>377</v>
      </c>
      <c r="E107" s="134" t="s">
        <v>16</v>
      </c>
      <c r="F107" s="33" t="s">
        <v>13</v>
      </c>
      <c r="G107" s="209" t="s">
        <v>189</v>
      </c>
      <c r="H107" s="169" t="s">
        <v>186</v>
      </c>
      <c r="I107" s="169">
        <v>0</v>
      </c>
      <c r="J107" s="169">
        <v>0</v>
      </c>
      <c r="K107" s="135">
        <v>2210.7600000000002</v>
      </c>
      <c r="L107" s="135">
        <v>0</v>
      </c>
      <c r="M107" s="135">
        <v>0</v>
      </c>
    </row>
    <row r="108" spans="1:13" ht="31.5">
      <c r="A108" s="226"/>
      <c r="B108" s="226"/>
      <c r="C108" s="226"/>
      <c r="D108" s="5" t="s">
        <v>380</v>
      </c>
      <c r="E108" s="134" t="s">
        <v>340</v>
      </c>
      <c r="F108" s="33" t="s">
        <v>13</v>
      </c>
      <c r="G108" s="200" t="s">
        <v>105</v>
      </c>
      <c r="H108" s="199" t="s">
        <v>186</v>
      </c>
      <c r="I108" s="199">
        <v>0</v>
      </c>
      <c r="J108" s="199">
        <v>0</v>
      </c>
      <c r="K108" s="135">
        <v>453.15</v>
      </c>
      <c r="L108" s="135">
        <v>0</v>
      </c>
      <c r="M108" s="135">
        <v>0</v>
      </c>
    </row>
    <row r="109" spans="1:13" ht="31.5">
      <c r="A109" s="226"/>
      <c r="B109" s="226"/>
      <c r="C109" s="226"/>
      <c r="D109" s="5" t="s">
        <v>381</v>
      </c>
      <c r="E109" s="134" t="s">
        <v>340</v>
      </c>
      <c r="F109" s="33" t="s">
        <v>13</v>
      </c>
      <c r="G109" s="200" t="s">
        <v>62</v>
      </c>
      <c r="H109" s="199" t="s">
        <v>186</v>
      </c>
      <c r="I109" s="199">
        <v>0</v>
      </c>
      <c r="J109" s="199">
        <v>0</v>
      </c>
      <c r="K109" s="135">
        <v>85.06</v>
      </c>
      <c r="L109" s="135">
        <v>0</v>
      </c>
      <c r="M109" s="135">
        <v>0</v>
      </c>
    </row>
    <row r="110" spans="1:13" ht="31.5">
      <c r="A110" s="226"/>
      <c r="B110" s="226"/>
      <c r="C110" s="226"/>
      <c r="D110" s="5" t="s">
        <v>382</v>
      </c>
      <c r="E110" s="134" t="s">
        <v>383</v>
      </c>
      <c r="F110" s="33" t="s">
        <v>13</v>
      </c>
      <c r="G110" s="200" t="s">
        <v>332</v>
      </c>
      <c r="H110" s="199" t="s">
        <v>186</v>
      </c>
      <c r="I110" s="199">
        <v>0</v>
      </c>
      <c r="J110" s="199">
        <v>0</v>
      </c>
      <c r="K110" s="135">
        <v>119</v>
      </c>
      <c r="L110" s="135">
        <v>0</v>
      </c>
      <c r="M110" s="135">
        <v>0</v>
      </c>
    </row>
    <row r="111" spans="1:13" ht="31.5">
      <c r="A111" s="226"/>
      <c r="B111" s="226"/>
      <c r="C111" s="226"/>
      <c r="D111" s="5" t="s">
        <v>384</v>
      </c>
      <c r="E111" s="134" t="s">
        <v>16</v>
      </c>
      <c r="F111" s="33" t="s">
        <v>13</v>
      </c>
      <c r="G111" s="209" t="s">
        <v>62</v>
      </c>
      <c r="H111" s="199" t="s">
        <v>186</v>
      </c>
      <c r="I111" s="199">
        <v>0</v>
      </c>
      <c r="J111" s="199">
        <v>0</v>
      </c>
      <c r="K111" s="135">
        <v>99.45</v>
      </c>
      <c r="L111" s="135">
        <v>0</v>
      </c>
      <c r="M111" s="135">
        <v>0</v>
      </c>
    </row>
    <row r="112" spans="1:13" ht="31.5">
      <c r="A112" s="226"/>
      <c r="B112" s="226"/>
      <c r="C112" s="226"/>
      <c r="D112" s="5" t="s">
        <v>311</v>
      </c>
      <c r="E112" s="5" t="s">
        <v>208</v>
      </c>
      <c r="F112" s="33" t="s">
        <v>13</v>
      </c>
      <c r="G112" s="20" t="s">
        <v>10</v>
      </c>
      <c r="H112" s="8" t="s">
        <v>10</v>
      </c>
      <c r="I112" s="8" t="s">
        <v>62</v>
      </c>
      <c r="J112" s="8" t="s">
        <v>95</v>
      </c>
      <c r="K112" s="11">
        <v>0</v>
      </c>
      <c r="L112" s="11">
        <v>495</v>
      </c>
      <c r="M112" s="11">
        <v>0</v>
      </c>
    </row>
    <row r="113" spans="1:14" ht="31.5">
      <c r="A113" s="226"/>
      <c r="B113" s="226"/>
      <c r="C113" s="226"/>
      <c r="D113" s="5" t="s">
        <v>327</v>
      </c>
      <c r="E113" s="5" t="s">
        <v>208</v>
      </c>
      <c r="F113" s="33" t="s">
        <v>13</v>
      </c>
      <c r="G113" s="20" t="s">
        <v>10</v>
      </c>
      <c r="H113" s="8" t="s">
        <v>10</v>
      </c>
      <c r="I113" s="8" t="s">
        <v>62</v>
      </c>
      <c r="J113" s="8" t="s">
        <v>95</v>
      </c>
      <c r="K113" s="11">
        <v>0</v>
      </c>
      <c r="L113" s="11">
        <v>400</v>
      </c>
      <c r="M113" s="11">
        <v>0</v>
      </c>
    </row>
    <row r="114" spans="1:14">
      <c r="A114" s="226"/>
      <c r="B114" s="226"/>
      <c r="C114" s="226"/>
      <c r="D114" s="5" t="s">
        <v>326</v>
      </c>
      <c r="E114" s="12" t="s">
        <v>33</v>
      </c>
      <c r="F114" s="33" t="s">
        <v>13</v>
      </c>
      <c r="G114" s="20" t="s">
        <v>10</v>
      </c>
      <c r="H114" s="8" t="s">
        <v>10</v>
      </c>
      <c r="I114" s="8" t="s">
        <v>62</v>
      </c>
      <c r="J114" s="8" t="s">
        <v>95</v>
      </c>
      <c r="K114" s="11">
        <v>0</v>
      </c>
      <c r="L114" s="11">
        <v>250</v>
      </c>
      <c r="M114" s="11">
        <v>0</v>
      </c>
    </row>
    <row r="115" spans="1:14" ht="45" customHeight="1">
      <c r="A115" s="226"/>
      <c r="B115" s="229"/>
      <c r="C115" s="229"/>
      <c r="D115" s="5" t="s">
        <v>310</v>
      </c>
      <c r="E115" s="37" t="s">
        <v>208</v>
      </c>
      <c r="F115" s="10" t="s">
        <v>13</v>
      </c>
      <c r="G115" s="20" t="s">
        <v>10</v>
      </c>
      <c r="H115" s="8" t="s">
        <v>10</v>
      </c>
      <c r="I115" s="8" t="s">
        <v>62</v>
      </c>
      <c r="J115" s="8">
        <v>0</v>
      </c>
      <c r="K115" s="11">
        <v>0</v>
      </c>
      <c r="L115" s="11">
        <v>300</v>
      </c>
      <c r="M115" s="11">
        <v>0</v>
      </c>
    </row>
    <row r="116" spans="1:14" ht="47.25">
      <c r="A116" s="139" t="s">
        <v>34</v>
      </c>
      <c r="B116" s="138" t="s">
        <v>10</v>
      </c>
      <c r="C116" s="162" t="s">
        <v>10</v>
      </c>
      <c r="D116" s="17" t="s">
        <v>35</v>
      </c>
      <c r="E116" s="66" t="s">
        <v>98</v>
      </c>
      <c r="F116" s="81" t="s">
        <v>13</v>
      </c>
      <c r="G116" s="81">
        <f>G118+G119</f>
        <v>47</v>
      </c>
      <c r="H116" s="81" t="s">
        <v>10</v>
      </c>
      <c r="I116" s="81">
        <f t="shared" ref="I116:J116" si="16">I118+I119</f>
        <v>48</v>
      </c>
      <c r="J116" s="81">
        <f t="shared" si="16"/>
        <v>49</v>
      </c>
      <c r="K116" s="137">
        <f>K117+K121+K136</f>
        <v>60204.05</v>
      </c>
      <c r="L116" s="101">
        <f t="shared" ref="L116:M116" si="17">L117+L121</f>
        <v>48899.81</v>
      </c>
      <c r="M116" s="101">
        <f t="shared" si="17"/>
        <v>47257.35</v>
      </c>
    </row>
    <row r="117" spans="1:14" ht="47.25">
      <c r="A117" s="72" t="s">
        <v>34</v>
      </c>
      <c r="B117" s="72" t="s">
        <v>190</v>
      </c>
      <c r="C117" s="72" t="s">
        <v>10</v>
      </c>
      <c r="D117" s="78" t="s">
        <v>35</v>
      </c>
      <c r="E117" s="78" t="s">
        <v>296</v>
      </c>
      <c r="F117" s="78" t="s">
        <v>13</v>
      </c>
      <c r="G117" s="173">
        <f>G118+G119</f>
        <v>47</v>
      </c>
      <c r="H117" s="173" t="s">
        <v>10</v>
      </c>
      <c r="I117" s="173">
        <f>I118+I119</f>
        <v>48</v>
      </c>
      <c r="J117" s="173">
        <f>J118+J119</f>
        <v>49</v>
      </c>
      <c r="K117" s="80">
        <f>K118+K119+K120</f>
        <v>41533.94</v>
      </c>
      <c r="L117" s="80">
        <f t="shared" ref="L117:M117" si="18">L118+L119+L120</f>
        <v>43900.49</v>
      </c>
      <c r="M117" s="80">
        <f t="shared" si="18"/>
        <v>43957.35</v>
      </c>
    </row>
    <row r="118" spans="1:14" ht="47.25">
      <c r="A118" s="6" t="s">
        <v>34</v>
      </c>
      <c r="B118" s="142" t="s">
        <v>190</v>
      </c>
      <c r="C118" s="6" t="s">
        <v>36</v>
      </c>
      <c r="D118" s="12" t="s">
        <v>37</v>
      </c>
      <c r="E118" s="7" t="s">
        <v>98</v>
      </c>
      <c r="F118" s="2" t="s">
        <v>13</v>
      </c>
      <c r="G118" s="2">
        <v>30</v>
      </c>
      <c r="H118" s="6" t="s">
        <v>186</v>
      </c>
      <c r="I118" s="6" t="s">
        <v>99</v>
      </c>
      <c r="J118" s="6" t="s">
        <v>99</v>
      </c>
      <c r="K118" s="185">
        <v>23444.01</v>
      </c>
      <c r="L118" s="185">
        <v>23038.12</v>
      </c>
      <c r="M118" s="185">
        <v>23038.12</v>
      </c>
    </row>
    <row r="119" spans="1:14" ht="47.25">
      <c r="A119" s="6" t="s">
        <v>34</v>
      </c>
      <c r="B119" s="142" t="s">
        <v>190</v>
      </c>
      <c r="C119" s="6" t="s">
        <v>38</v>
      </c>
      <c r="D119" s="12" t="s">
        <v>37</v>
      </c>
      <c r="E119" s="7" t="s">
        <v>98</v>
      </c>
      <c r="F119" s="2" t="s">
        <v>13</v>
      </c>
      <c r="G119" s="2">
        <v>17</v>
      </c>
      <c r="H119" s="6" t="s">
        <v>186</v>
      </c>
      <c r="I119" s="6" t="s">
        <v>188</v>
      </c>
      <c r="J119" s="6" t="s">
        <v>189</v>
      </c>
      <c r="K119" s="185">
        <v>18089.93</v>
      </c>
      <c r="L119" s="185">
        <v>17684.41</v>
      </c>
      <c r="M119" s="185">
        <v>17684.41</v>
      </c>
    </row>
    <row r="120" spans="1:14">
      <c r="A120" s="160" t="s">
        <v>10</v>
      </c>
      <c r="B120" s="4" t="s">
        <v>10</v>
      </c>
      <c r="C120" s="4" t="s">
        <v>10</v>
      </c>
      <c r="D120" s="12" t="s">
        <v>243</v>
      </c>
      <c r="E120" s="54" t="s">
        <v>10</v>
      </c>
      <c r="F120" s="54" t="s">
        <v>10</v>
      </c>
      <c r="G120" s="54" t="s">
        <v>10</v>
      </c>
      <c r="H120" s="6" t="s">
        <v>10</v>
      </c>
      <c r="I120" s="6" t="s">
        <v>10</v>
      </c>
      <c r="J120" s="6" t="s">
        <v>10</v>
      </c>
      <c r="K120" s="185">
        <v>0</v>
      </c>
      <c r="L120" s="185">
        <v>3177.96</v>
      </c>
      <c r="M120" s="185">
        <v>3234.82</v>
      </c>
      <c r="N120" s="13"/>
    </row>
    <row r="121" spans="1:14" ht="31.5">
      <c r="A121" s="72" t="s">
        <v>34</v>
      </c>
      <c r="B121" s="72" t="s">
        <v>191</v>
      </c>
      <c r="C121" s="72" t="s">
        <v>10</v>
      </c>
      <c r="D121" s="78" t="s">
        <v>192</v>
      </c>
      <c r="E121" s="70" t="s">
        <v>33</v>
      </c>
      <c r="F121" s="75" t="s">
        <v>13</v>
      </c>
      <c r="G121" s="72" t="s">
        <v>415</v>
      </c>
      <c r="H121" s="72" t="s">
        <v>10</v>
      </c>
      <c r="I121" s="72" t="s">
        <v>8</v>
      </c>
      <c r="J121" s="72" t="s">
        <v>83</v>
      </c>
      <c r="K121" s="80">
        <f>SUM(K122:K135)</f>
        <v>18630.22</v>
      </c>
      <c r="L121" s="80">
        <f>L122+L123+L127+L128+L129+L130+L133+L135+L134</f>
        <v>4999.32</v>
      </c>
      <c r="M121" s="80">
        <f>M122+M123+M127+M128+M129+M130+M133+M135+M134</f>
        <v>3300</v>
      </c>
      <c r="N121" s="13"/>
    </row>
    <row r="122" spans="1:14" ht="31.5">
      <c r="A122" s="223" t="s">
        <v>34</v>
      </c>
      <c r="B122" s="241" t="s">
        <v>191</v>
      </c>
      <c r="C122" s="241" t="s">
        <v>36</v>
      </c>
      <c r="D122" s="16" t="s">
        <v>221</v>
      </c>
      <c r="E122" s="16" t="s">
        <v>223</v>
      </c>
      <c r="F122" s="19" t="s">
        <v>13</v>
      </c>
      <c r="G122" s="19">
        <v>1</v>
      </c>
      <c r="H122" s="20" t="s">
        <v>186</v>
      </c>
      <c r="I122" s="20" t="s">
        <v>95</v>
      </c>
      <c r="J122" s="20" t="s">
        <v>95</v>
      </c>
      <c r="K122" s="11">
        <v>325</v>
      </c>
      <c r="L122" s="11">
        <v>0</v>
      </c>
      <c r="M122" s="11">
        <v>0</v>
      </c>
      <c r="N122" s="13"/>
    </row>
    <row r="123" spans="1:14" ht="31.5">
      <c r="A123" s="223"/>
      <c r="B123" s="275"/>
      <c r="C123" s="275"/>
      <c r="D123" s="16" t="s">
        <v>222</v>
      </c>
      <c r="E123" s="16" t="s">
        <v>15</v>
      </c>
      <c r="F123" s="19" t="s">
        <v>13</v>
      </c>
      <c r="G123" s="19">
        <v>1</v>
      </c>
      <c r="H123" s="20" t="s">
        <v>186</v>
      </c>
      <c r="I123" s="20" t="s">
        <v>95</v>
      </c>
      <c r="J123" s="20" t="s">
        <v>95</v>
      </c>
      <c r="K123" s="11">
        <v>3216</v>
      </c>
      <c r="L123" s="11">
        <v>0</v>
      </c>
      <c r="M123" s="11">
        <v>0</v>
      </c>
    </row>
    <row r="124" spans="1:14" ht="31.5">
      <c r="A124" s="223"/>
      <c r="B124" s="275"/>
      <c r="C124" s="275"/>
      <c r="D124" s="16" t="s">
        <v>388</v>
      </c>
      <c r="E124" s="16" t="s">
        <v>223</v>
      </c>
      <c r="F124" s="19" t="s">
        <v>13</v>
      </c>
      <c r="G124" s="19">
        <v>1</v>
      </c>
      <c r="H124" s="201" t="s">
        <v>186</v>
      </c>
      <c r="I124" s="201" t="s">
        <v>95</v>
      </c>
      <c r="J124" s="201" t="s">
        <v>95</v>
      </c>
      <c r="K124" s="11">
        <v>1297</v>
      </c>
      <c r="L124" s="11">
        <v>0</v>
      </c>
      <c r="M124" s="11">
        <v>0</v>
      </c>
    </row>
    <row r="125" spans="1:14" ht="157.5">
      <c r="A125" s="223"/>
      <c r="B125" s="275"/>
      <c r="C125" s="275"/>
      <c r="D125" s="16" t="s">
        <v>354</v>
      </c>
      <c r="E125" s="12" t="s">
        <v>15</v>
      </c>
      <c r="F125" s="10" t="s">
        <v>13</v>
      </c>
      <c r="G125" s="10">
        <v>1</v>
      </c>
      <c r="H125" s="6" t="s">
        <v>186</v>
      </c>
      <c r="I125" s="8" t="s">
        <v>95</v>
      </c>
      <c r="J125" s="8" t="s">
        <v>95</v>
      </c>
      <c r="K125" s="11">
        <v>1000.38</v>
      </c>
      <c r="L125" s="11">
        <v>0</v>
      </c>
      <c r="M125" s="11">
        <v>0</v>
      </c>
    </row>
    <row r="126" spans="1:14" ht="31.5">
      <c r="A126" s="223"/>
      <c r="B126" s="275"/>
      <c r="C126" s="275"/>
      <c r="D126" s="16" t="s">
        <v>328</v>
      </c>
      <c r="E126" s="12" t="s">
        <v>15</v>
      </c>
      <c r="F126" s="10" t="s">
        <v>13</v>
      </c>
      <c r="G126" s="10">
        <v>1</v>
      </c>
      <c r="H126" s="6" t="s">
        <v>186</v>
      </c>
      <c r="I126" s="8" t="s">
        <v>95</v>
      </c>
      <c r="J126" s="8" t="s">
        <v>95</v>
      </c>
      <c r="K126" s="11">
        <v>248.15</v>
      </c>
      <c r="L126" s="11">
        <v>0</v>
      </c>
      <c r="M126" s="11">
        <v>0</v>
      </c>
    </row>
    <row r="127" spans="1:14" ht="33" customHeight="1">
      <c r="A127" s="223"/>
      <c r="B127" s="275"/>
      <c r="C127" s="275"/>
      <c r="D127" s="16" t="s">
        <v>329</v>
      </c>
      <c r="E127" s="12" t="s">
        <v>15</v>
      </c>
      <c r="F127" s="10" t="s">
        <v>13</v>
      </c>
      <c r="G127" s="10">
        <v>1</v>
      </c>
      <c r="H127" s="6" t="s">
        <v>186</v>
      </c>
      <c r="I127" s="8" t="s">
        <v>95</v>
      </c>
      <c r="J127" s="8" t="s">
        <v>95</v>
      </c>
      <c r="K127" s="11">
        <v>106.91</v>
      </c>
      <c r="L127" s="11">
        <v>0</v>
      </c>
      <c r="M127" s="11">
        <v>0</v>
      </c>
    </row>
    <row r="128" spans="1:14">
      <c r="A128" s="223"/>
      <c r="B128" s="275"/>
      <c r="C128" s="275"/>
      <c r="D128" s="16" t="s">
        <v>107</v>
      </c>
      <c r="E128" s="12" t="s">
        <v>15</v>
      </c>
      <c r="F128" s="10" t="s">
        <v>13</v>
      </c>
      <c r="G128" s="10">
        <v>0</v>
      </c>
      <c r="H128" s="6" t="s">
        <v>10</v>
      </c>
      <c r="I128" s="8" t="s">
        <v>62</v>
      </c>
      <c r="J128" s="8" t="s">
        <v>62</v>
      </c>
      <c r="K128" s="11">
        <v>0</v>
      </c>
      <c r="L128" s="11">
        <v>2650</v>
      </c>
      <c r="M128" s="11">
        <v>2650</v>
      </c>
    </row>
    <row r="129" spans="1:14">
      <c r="A129" s="223"/>
      <c r="B129" s="275"/>
      <c r="C129" s="275"/>
      <c r="D129" s="16" t="s">
        <v>103</v>
      </c>
      <c r="E129" s="12" t="s">
        <v>110</v>
      </c>
      <c r="F129" s="10" t="s">
        <v>13</v>
      </c>
      <c r="G129" s="19">
        <v>0</v>
      </c>
      <c r="H129" s="6" t="s">
        <v>10</v>
      </c>
      <c r="I129" s="8" t="s">
        <v>114</v>
      </c>
      <c r="J129" s="8" t="s">
        <v>95</v>
      </c>
      <c r="K129" s="11">
        <v>0</v>
      </c>
      <c r="L129" s="11">
        <v>650</v>
      </c>
      <c r="M129" s="11">
        <v>0</v>
      </c>
    </row>
    <row r="130" spans="1:14" ht="141.75">
      <c r="A130" s="242" t="s">
        <v>34</v>
      </c>
      <c r="B130" s="241" t="s">
        <v>191</v>
      </c>
      <c r="C130" s="225" t="s">
        <v>38</v>
      </c>
      <c r="D130" s="16" t="s">
        <v>386</v>
      </c>
      <c r="E130" s="12" t="s">
        <v>15</v>
      </c>
      <c r="F130" s="10" t="s">
        <v>13</v>
      </c>
      <c r="G130" s="19">
        <v>1</v>
      </c>
      <c r="H130" s="6" t="s">
        <v>186</v>
      </c>
      <c r="I130" s="8" t="s">
        <v>95</v>
      </c>
      <c r="J130" s="8" t="s">
        <v>95</v>
      </c>
      <c r="K130" s="11">
        <v>10829.65</v>
      </c>
      <c r="L130" s="11">
        <v>0</v>
      </c>
      <c r="M130" s="11">
        <v>0</v>
      </c>
    </row>
    <row r="131" spans="1:14" ht="31.5">
      <c r="A131" s="242"/>
      <c r="B131" s="241"/>
      <c r="C131" s="226"/>
      <c r="D131" s="216" t="s">
        <v>414</v>
      </c>
      <c r="E131" s="12" t="s">
        <v>15</v>
      </c>
      <c r="F131" s="10" t="s">
        <v>13</v>
      </c>
      <c r="G131" s="19">
        <v>2</v>
      </c>
      <c r="H131" s="213" t="s">
        <v>186</v>
      </c>
      <c r="I131" s="212" t="s">
        <v>95</v>
      </c>
      <c r="J131" s="212" t="s">
        <v>95</v>
      </c>
      <c r="K131" s="11">
        <v>177.36</v>
      </c>
      <c r="L131" s="11">
        <v>0</v>
      </c>
      <c r="M131" s="11">
        <v>0</v>
      </c>
    </row>
    <row r="132" spans="1:14" ht="31.5">
      <c r="A132" s="242"/>
      <c r="B132" s="241"/>
      <c r="C132" s="226"/>
      <c r="D132" s="16" t="s">
        <v>387</v>
      </c>
      <c r="E132" s="12" t="s">
        <v>15</v>
      </c>
      <c r="F132" s="10" t="s">
        <v>13</v>
      </c>
      <c r="G132" s="19">
        <v>1</v>
      </c>
      <c r="H132" s="198" t="s">
        <v>186</v>
      </c>
      <c r="I132" s="202" t="s">
        <v>95</v>
      </c>
      <c r="J132" s="202" t="s">
        <v>95</v>
      </c>
      <c r="K132" s="11">
        <v>799.7</v>
      </c>
      <c r="L132" s="11">
        <v>0</v>
      </c>
      <c r="M132" s="11">
        <v>0</v>
      </c>
    </row>
    <row r="133" spans="1:14">
      <c r="A133" s="242"/>
      <c r="B133" s="241"/>
      <c r="C133" s="226"/>
      <c r="D133" s="16" t="s">
        <v>103</v>
      </c>
      <c r="E133" s="12" t="s">
        <v>110</v>
      </c>
      <c r="F133" s="19" t="s">
        <v>13</v>
      </c>
      <c r="G133" s="19">
        <v>0</v>
      </c>
      <c r="H133" s="6" t="s">
        <v>10</v>
      </c>
      <c r="I133" s="40">
        <v>0</v>
      </c>
      <c r="J133" s="52">
        <v>8</v>
      </c>
      <c r="K133" s="11">
        <v>0</v>
      </c>
      <c r="L133" s="11">
        <v>0</v>
      </c>
      <c r="M133" s="11">
        <v>650</v>
      </c>
    </row>
    <row r="134" spans="1:14" ht="31.5">
      <c r="A134" s="242"/>
      <c r="B134" s="241"/>
      <c r="C134" s="226"/>
      <c r="D134" s="5" t="s">
        <v>330</v>
      </c>
      <c r="E134" s="5" t="s">
        <v>33</v>
      </c>
      <c r="F134" s="19" t="s">
        <v>13</v>
      </c>
      <c r="G134" s="19">
        <v>1</v>
      </c>
      <c r="H134" s="6" t="s">
        <v>186</v>
      </c>
      <c r="I134" s="8">
        <v>0</v>
      </c>
      <c r="J134" s="8">
        <v>0</v>
      </c>
      <c r="K134" s="11">
        <v>630.07000000000005</v>
      </c>
      <c r="L134" s="11">
        <v>0</v>
      </c>
      <c r="M134" s="11">
        <v>0</v>
      </c>
      <c r="N134" s="165"/>
    </row>
    <row r="135" spans="1:14" ht="47.25">
      <c r="A135" s="242"/>
      <c r="B135" s="241"/>
      <c r="C135" s="229"/>
      <c r="D135" s="5" t="s">
        <v>331</v>
      </c>
      <c r="E135" s="5" t="s">
        <v>16</v>
      </c>
      <c r="F135" s="19" t="s">
        <v>13</v>
      </c>
      <c r="G135" s="19" t="s">
        <v>10</v>
      </c>
      <c r="H135" s="6" t="s">
        <v>10</v>
      </c>
      <c r="I135" s="20" t="s">
        <v>332</v>
      </c>
      <c r="J135" s="8">
        <v>0</v>
      </c>
      <c r="K135" s="11">
        <v>0</v>
      </c>
      <c r="L135" s="11">
        <v>1699.32</v>
      </c>
      <c r="M135" s="11">
        <v>0</v>
      </c>
      <c r="N135" s="165"/>
    </row>
    <row r="136" spans="1:14" ht="31.5">
      <c r="A136" s="72" t="s">
        <v>34</v>
      </c>
      <c r="B136" s="72" t="s">
        <v>290</v>
      </c>
      <c r="C136" s="72" t="s">
        <v>10</v>
      </c>
      <c r="D136" s="70" t="s">
        <v>291</v>
      </c>
      <c r="E136" s="70" t="s">
        <v>123</v>
      </c>
      <c r="F136" s="75" t="s">
        <v>30</v>
      </c>
      <c r="G136" s="79">
        <v>1</v>
      </c>
      <c r="H136" s="79" t="s">
        <v>145</v>
      </c>
      <c r="I136" s="79" t="s">
        <v>10</v>
      </c>
      <c r="J136" s="79" t="s">
        <v>10</v>
      </c>
      <c r="K136" s="71">
        <f>K137</f>
        <v>39.89</v>
      </c>
      <c r="L136" s="71">
        <f t="shared" ref="L136" si="19">L137</f>
        <v>0</v>
      </c>
      <c r="M136" s="71">
        <f t="shared" ref="M136" si="20">M137</f>
        <v>0</v>
      </c>
      <c r="N136" s="165"/>
    </row>
    <row r="137" spans="1:14" ht="51.75" customHeight="1">
      <c r="A137" s="20" t="s">
        <v>34</v>
      </c>
      <c r="B137" s="20" t="s">
        <v>290</v>
      </c>
      <c r="C137" s="20" t="s">
        <v>17</v>
      </c>
      <c r="D137" s="16" t="s">
        <v>292</v>
      </c>
      <c r="E137" s="16" t="s">
        <v>123</v>
      </c>
      <c r="F137" s="19" t="s">
        <v>30</v>
      </c>
      <c r="G137" s="23">
        <v>1</v>
      </c>
      <c r="H137" s="6" t="s">
        <v>145</v>
      </c>
      <c r="I137" s="23">
        <v>0</v>
      </c>
      <c r="J137" s="23">
        <v>0</v>
      </c>
      <c r="K137" s="11">
        <v>39.89</v>
      </c>
      <c r="L137" s="11">
        <v>0</v>
      </c>
      <c r="M137" s="11">
        <v>0</v>
      </c>
    </row>
    <row r="138" spans="1:14" ht="47.25">
      <c r="A138" s="219" t="s">
        <v>39</v>
      </c>
      <c r="B138" s="219" t="s">
        <v>10</v>
      </c>
      <c r="C138" s="219" t="s">
        <v>10</v>
      </c>
      <c r="D138" s="239" t="s">
        <v>40</v>
      </c>
      <c r="E138" s="66" t="s">
        <v>130</v>
      </c>
      <c r="F138" s="81" t="s">
        <v>13</v>
      </c>
      <c r="G138" s="81">
        <v>65</v>
      </c>
      <c r="H138" s="58" t="s">
        <v>10</v>
      </c>
      <c r="I138" s="81">
        <v>52</v>
      </c>
      <c r="J138" s="81">
        <v>52</v>
      </c>
      <c r="K138" s="233">
        <f>K141</f>
        <v>23066.114999999998</v>
      </c>
      <c r="L138" s="233">
        <f t="shared" ref="L138:M138" si="21">L141</f>
        <v>21596.12</v>
      </c>
      <c r="M138" s="233">
        <f t="shared" si="21"/>
        <v>21596.12</v>
      </c>
    </row>
    <row r="139" spans="1:14">
      <c r="A139" s="219"/>
      <c r="B139" s="219"/>
      <c r="C139" s="219"/>
      <c r="D139" s="269"/>
      <c r="E139" s="83" t="s">
        <v>41</v>
      </c>
      <c r="F139" s="84" t="s">
        <v>30</v>
      </c>
      <c r="G139" s="85">
        <v>119100</v>
      </c>
      <c r="H139" s="155" t="s">
        <v>10</v>
      </c>
      <c r="I139" s="85">
        <f>131500+950</f>
        <v>132450</v>
      </c>
      <c r="J139" s="85">
        <f>131500+970</f>
        <v>132470</v>
      </c>
      <c r="K139" s="234"/>
      <c r="L139" s="234"/>
      <c r="M139" s="234"/>
    </row>
    <row r="140" spans="1:14" ht="31.5">
      <c r="A140" s="219"/>
      <c r="B140" s="219"/>
      <c r="C140" s="219"/>
      <c r="D140" s="240"/>
      <c r="E140" s="83" t="s">
        <v>237</v>
      </c>
      <c r="F140" s="84" t="s">
        <v>13</v>
      </c>
      <c r="G140" s="85">
        <v>3</v>
      </c>
      <c r="H140" s="85" t="s">
        <v>10</v>
      </c>
      <c r="I140" s="85">
        <v>3</v>
      </c>
      <c r="J140" s="85">
        <v>3</v>
      </c>
      <c r="K140" s="235"/>
      <c r="L140" s="235"/>
      <c r="M140" s="235"/>
    </row>
    <row r="141" spans="1:14">
      <c r="A141" s="72" t="s">
        <v>39</v>
      </c>
      <c r="B141" s="72" t="s">
        <v>193</v>
      </c>
      <c r="C141" s="72" t="s">
        <v>10</v>
      </c>
      <c r="D141" s="78" t="s">
        <v>194</v>
      </c>
      <c r="E141" s="70" t="s">
        <v>112</v>
      </c>
      <c r="F141" s="75" t="s">
        <v>13</v>
      </c>
      <c r="G141" s="72" t="s">
        <v>105</v>
      </c>
      <c r="H141" s="72" t="s">
        <v>10</v>
      </c>
      <c r="I141" s="72" t="s">
        <v>105</v>
      </c>
      <c r="J141" s="72" t="s">
        <v>105</v>
      </c>
      <c r="K141" s="80">
        <f>SUM(K142:K192)</f>
        <v>23066.114999999998</v>
      </c>
      <c r="L141" s="80">
        <f>SUM(L142:L192)</f>
        <v>21596.12</v>
      </c>
      <c r="M141" s="80">
        <f>SUM(M142:M192)</f>
        <v>21596.12</v>
      </c>
    </row>
    <row r="142" spans="1:14" ht="47.25">
      <c r="A142" s="220" t="s">
        <v>39</v>
      </c>
      <c r="B142" s="220" t="s">
        <v>193</v>
      </c>
      <c r="C142" s="220" t="s">
        <v>17</v>
      </c>
      <c r="D142" s="24" t="s">
        <v>42</v>
      </c>
      <c r="E142" s="7" t="s">
        <v>109</v>
      </c>
      <c r="F142" s="29" t="s">
        <v>13</v>
      </c>
      <c r="G142" s="23" t="s">
        <v>10</v>
      </c>
      <c r="H142" s="20" t="s">
        <v>10</v>
      </c>
      <c r="I142" s="20" t="s">
        <v>83</v>
      </c>
      <c r="J142" s="20" t="s">
        <v>83</v>
      </c>
      <c r="K142" s="11">
        <v>0</v>
      </c>
      <c r="L142" s="11">
        <v>1210</v>
      </c>
      <c r="M142" s="11">
        <v>1210</v>
      </c>
    </row>
    <row r="143" spans="1:14" ht="47.25">
      <c r="A143" s="221"/>
      <c r="B143" s="221"/>
      <c r="C143" s="221"/>
      <c r="D143" s="24" t="s">
        <v>104</v>
      </c>
      <c r="E143" s="7" t="s">
        <v>109</v>
      </c>
      <c r="F143" s="29" t="s">
        <v>13</v>
      </c>
      <c r="G143" s="23" t="s">
        <v>10</v>
      </c>
      <c r="H143" s="20" t="s">
        <v>10</v>
      </c>
      <c r="I143" s="20" t="s">
        <v>62</v>
      </c>
      <c r="J143" s="20" t="s">
        <v>62</v>
      </c>
      <c r="K143" s="11">
        <v>0</v>
      </c>
      <c r="L143" s="11">
        <v>160</v>
      </c>
      <c r="M143" s="11">
        <v>160</v>
      </c>
    </row>
    <row r="144" spans="1:14" ht="31.5">
      <c r="A144" s="221"/>
      <c r="B144" s="221"/>
      <c r="C144" s="221"/>
      <c r="D144" s="25" t="s">
        <v>263</v>
      </c>
      <c r="E144" s="12" t="s">
        <v>41</v>
      </c>
      <c r="F144" s="10" t="s">
        <v>30</v>
      </c>
      <c r="G144" s="23" t="s">
        <v>43</v>
      </c>
      <c r="H144" s="6" t="s">
        <v>233</v>
      </c>
      <c r="I144" s="8" t="s">
        <v>44</v>
      </c>
      <c r="J144" s="8" t="s">
        <v>44</v>
      </c>
      <c r="K144" s="11">
        <v>90</v>
      </c>
      <c r="L144" s="11">
        <v>90</v>
      </c>
      <c r="M144" s="11">
        <v>90</v>
      </c>
    </row>
    <row r="145" spans="1:13" ht="31.5">
      <c r="A145" s="221"/>
      <c r="B145" s="221"/>
      <c r="C145" s="221"/>
      <c r="D145" s="25" t="s">
        <v>45</v>
      </c>
      <c r="E145" s="12" t="s">
        <v>46</v>
      </c>
      <c r="F145" s="10" t="s">
        <v>30</v>
      </c>
      <c r="G145" s="23" t="s">
        <v>47</v>
      </c>
      <c r="H145" s="20" t="s">
        <v>232</v>
      </c>
      <c r="I145" s="8" t="s">
        <v>47</v>
      </c>
      <c r="J145" s="8" t="s">
        <v>47</v>
      </c>
      <c r="K145" s="11">
        <v>120</v>
      </c>
      <c r="L145" s="11">
        <v>120</v>
      </c>
      <c r="M145" s="11">
        <v>120</v>
      </c>
    </row>
    <row r="146" spans="1:13" ht="31.5">
      <c r="A146" s="221"/>
      <c r="B146" s="221"/>
      <c r="C146" s="221"/>
      <c r="D146" s="25" t="s">
        <v>48</v>
      </c>
      <c r="E146" s="12" t="s">
        <v>109</v>
      </c>
      <c r="F146" s="10" t="s">
        <v>13</v>
      </c>
      <c r="G146" s="23" t="s">
        <v>10</v>
      </c>
      <c r="H146" s="6" t="s">
        <v>10</v>
      </c>
      <c r="I146" s="8" t="s">
        <v>62</v>
      </c>
      <c r="J146" s="8" t="s">
        <v>62</v>
      </c>
      <c r="K146" s="11">
        <v>0</v>
      </c>
      <c r="L146" s="11">
        <v>1619</v>
      </c>
      <c r="M146" s="11">
        <v>1619</v>
      </c>
    </row>
    <row r="147" spans="1:13" ht="31.5">
      <c r="A147" s="222"/>
      <c r="B147" s="222"/>
      <c r="C147" s="222"/>
      <c r="D147" s="25" t="s">
        <v>49</v>
      </c>
      <c r="E147" s="12" t="s">
        <v>46</v>
      </c>
      <c r="F147" s="10" t="s">
        <v>30</v>
      </c>
      <c r="G147" s="23" t="s">
        <v>50</v>
      </c>
      <c r="H147" s="6" t="s">
        <v>198</v>
      </c>
      <c r="I147" s="20" t="s">
        <v>50</v>
      </c>
      <c r="J147" s="8" t="s">
        <v>50</v>
      </c>
      <c r="K147" s="11">
        <v>120</v>
      </c>
      <c r="L147" s="11">
        <v>120</v>
      </c>
      <c r="M147" s="11">
        <v>120</v>
      </c>
    </row>
    <row r="148" spans="1:13" ht="47.25">
      <c r="A148" s="221" t="s">
        <v>39</v>
      </c>
      <c r="B148" s="221" t="s">
        <v>193</v>
      </c>
      <c r="C148" s="228" t="s">
        <v>38</v>
      </c>
      <c r="D148" s="15" t="s">
        <v>42</v>
      </c>
      <c r="E148" s="7" t="s">
        <v>41</v>
      </c>
      <c r="F148" s="2" t="s">
        <v>30</v>
      </c>
      <c r="G148" s="23">
        <v>30</v>
      </c>
      <c r="H148" s="6" t="s">
        <v>145</v>
      </c>
      <c r="I148" s="21">
        <v>30</v>
      </c>
      <c r="J148" s="21">
        <v>30</v>
      </c>
      <c r="K148" s="34">
        <f>300+449.25</f>
        <v>749.25</v>
      </c>
      <c r="L148" s="34">
        <v>250</v>
      </c>
      <c r="M148" s="34">
        <v>250</v>
      </c>
    </row>
    <row r="149" spans="1:13" ht="60.75" customHeight="1">
      <c r="A149" s="221"/>
      <c r="B149" s="221"/>
      <c r="C149" s="241"/>
      <c r="D149" s="1" t="s">
        <v>94</v>
      </c>
      <c r="E149" s="86" t="s">
        <v>41</v>
      </c>
      <c r="F149" s="87" t="s">
        <v>30</v>
      </c>
      <c r="G149" s="88">
        <v>0</v>
      </c>
      <c r="H149" s="60" t="s">
        <v>224</v>
      </c>
      <c r="I149" s="48">
        <v>50</v>
      </c>
      <c r="J149" s="48">
        <v>50</v>
      </c>
      <c r="K149" s="49">
        <v>0</v>
      </c>
      <c r="L149" s="49">
        <v>30</v>
      </c>
      <c r="M149" s="49">
        <v>30</v>
      </c>
    </row>
    <row r="150" spans="1:13" ht="31.5">
      <c r="A150" s="221"/>
      <c r="B150" s="221"/>
      <c r="C150" s="241"/>
      <c r="D150" s="164" t="s">
        <v>225</v>
      </c>
      <c r="E150" s="86" t="s">
        <v>41</v>
      </c>
      <c r="F150" s="87" t="s">
        <v>30</v>
      </c>
      <c r="G150" s="23">
        <v>5000</v>
      </c>
      <c r="H150" s="20" t="s">
        <v>226</v>
      </c>
      <c r="I150" s="21">
        <v>5000</v>
      </c>
      <c r="J150" s="21">
        <v>5000</v>
      </c>
      <c r="K150" s="34">
        <f>400+56.58</f>
        <v>456.58</v>
      </c>
      <c r="L150" s="34">
        <v>400</v>
      </c>
      <c r="M150" s="34">
        <v>400</v>
      </c>
    </row>
    <row r="151" spans="1:13" ht="47.25">
      <c r="A151" s="221"/>
      <c r="B151" s="221"/>
      <c r="C151" s="241"/>
      <c r="D151" s="15" t="s">
        <v>227</v>
      </c>
      <c r="E151" s="86" t="s">
        <v>41</v>
      </c>
      <c r="F151" s="87" t="s">
        <v>30</v>
      </c>
      <c r="G151" s="23">
        <v>50</v>
      </c>
      <c r="H151" s="6" t="s">
        <v>228</v>
      </c>
      <c r="I151" s="21">
        <v>50</v>
      </c>
      <c r="J151" s="21">
        <v>50</v>
      </c>
      <c r="K151" s="34">
        <v>217</v>
      </c>
      <c r="L151" s="34">
        <v>250</v>
      </c>
      <c r="M151" s="34">
        <v>250</v>
      </c>
    </row>
    <row r="152" spans="1:13" ht="94.5">
      <c r="A152" s="221"/>
      <c r="B152" s="221"/>
      <c r="C152" s="241"/>
      <c r="D152" s="15" t="s">
        <v>389</v>
      </c>
      <c r="E152" s="86" t="s">
        <v>41</v>
      </c>
      <c r="F152" s="87" t="s">
        <v>30</v>
      </c>
      <c r="G152" s="23">
        <v>100</v>
      </c>
      <c r="H152" s="198" t="s">
        <v>229</v>
      </c>
      <c r="I152" s="21">
        <v>100</v>
      </c>
      <c r="J152" s="21">
        <v>100</v>
      </c>
      <c r="K152" s="34">
        <v>82.04</v>
      </c>
      <c r="L152" s="34">
        <v>50</v>
      </c>
      <c r="M152" s="34">
        <v>50</v>
      </c>
    </row>
    <row r="153" spans="1:13" ht="31.5">
      <c r="A153" s="221"/>
      <c r="B153" s="221"/>
      <c r="C153" s="241"/>
      <c r="D153" s="15" t="s">
        <v>390</v>
      </c>
      <c r="E153" s="86" t="s">
        <v>41</v>
      </c>
      <c r="F153" s="87" t="s">
        <v>30</v>
      </c>
      <c r="G153" s="23">
        <v>100</v>
      </c>
      <c r="H153" s="6" t="s">
        <v>229</v>
      </c>
      <c r="I153" s="21">
        <v>100</v>
      </c>
      <c r="J153" s="21">
        <v>100</v>
      </c>
      <c r="K153" s="34">
        <v>50</v>
      </c>
      <c r="L153" s="34">
        <v>50</v>
      </c>
      <c r="M153" s="34">
        <v>50</v>
      </c>
    </row>
    <row r="154" spans="1:13" ht="31.5">
      <c r="A154" s="221"/>
      <c r="B154" s="221"/>
      <c r="C154" s="241"/>
      <c r="D154" s="15" t="s">
        <v>134</v>
      </c>
      <c r="E154" s="86" t="s">
        <v>41</v>
      </c>
      <c r="F154" s="87" t="s">
        <v>30</v>
      </c>
      <c r="G154" s="23">
        <v>60</v>
      </c>
      <c r="H154" s="6" t="s">
        <v>229</v>
      </c>
      <c r="I154" s="21">
        <v>60</v>
      </c>
      <c r="J154" s="21">
        <v>60</v>
      </c>
      <c r="K154" s="34">
        <v>63.86</v>
      </c>
      <c r="L154" s="34">
        <v>70</v>
      </c>
      <c r="M154" s="34">
        <v>70</v>
      </c>
    </row>
    <row r="155" spans="1:13" ht="31.5">
      <c r="A155" s="221"/>
      <c r="B155" s="221"/>
      <c r="C155" s="241"/>
      <c r="D155" s="15" t="s">
        <v>136</v>
      </c>
      <c r="E155" s="86" t="s">
        <v>41</v>
      </c>
      <c r="F155" s="87" t="s">
        <v>30</v>
      </c>
      <c r="G155" s="23">
        <v>50</v>
      </c>
      <c r="H155" s="6" t="s">
        <v>230</v>
      </c>
      <c r="I155" s="21">
        <v>50</v>
      </c>
      <c r="J155" s="21">
        <v>50</v>
      </c>
      <c r="K155" s="34">
        <v>143.37</v>
      </c>
      <c r="L155" s="34">
        <v>200</v>
      </c>
      <c r="M155" s="34">
        <v>200</v>
      </c>
    </row>
    <row r="156" spans="1:13" ht="47.25">
      <c r="A156" s="221"/>
      <c r="B156" s="221"/>
      <c r="C156" s="241"/>
      <c r="D156" s="15" t="s">
        <v>406</v>
      </c>
      <c r="E156" s="86" t="s">
        <v>41</v>
      </c>
      <c r="F156" s="87" t="s">
        <v>30</v>
      </c>
      <c r="G156" s="23">
        <v>100</v>
      </c>
      <c r="H156" s="6" t="s">
        <v>282</v>
      </c>
      <c r="I156" s="21" t="s">
        <v>10</v>
      </c>
      <c r="J156" s="21" t="s">
        <v>10</v>
      </c>
      <c r="K156" s="34">
        <v>100</v>
      </c>
      <c r="L156" s="34">
        <v>0</v>
      </c>
      <c r="M156" s="34">
        <v>0</v>
      </c>
    </row>
    <row r="157" spans="1:13" ht="47.25">
      <c r="A157" s="221"/>
      <c r="B157" s="221"/>
      <c r="C157" s="241"/>
      <c r="D157" s="15" t="s">
        <v>283</v>
      </c>
      <c r="E157" s="86" t="s">
        <v>41</v>
      </c>
      <c r="F157" s="87" t="s">
        <v>30</v>
      </c>
      <c r="G157" s="23">
        <v>36</v>
      </c>
      <c r="H157" s="6" t="s">
        <v>259</v>
      </c>
      <c r="I157" s="21" t="s">
        <v>10</v>
      </c>
      <c r="J157" s="21" t="s">
        <v>10</v>
      </c>
      <c r="K157" s="34">
        <v>16</v>
      </c>
      <c r="L157" s="34">
        <v>0</v>
      </c>
      <c r="M157" s="34">
        <v>0</v>
      </c>
    </row>
    <row r="158" spans="1:13" ht="31.5">
      <c r="A158" s="221"/>
      <c r="B158" s="221"/>
      <c r="C158" s="241"/>
      <c r="D158" s="15" t="s">
        <v>279</v>
      </c>
      <c r="E158" s="86" t="s">
        <v>41</v>
      </c>
      <c r="F158" s="87" t="s">
        <v>30</v>
      </c>
      <c r="G158" s="23">
        <v>799</v>
      </c>
      <c r="H158" s="6" t="s">
        <v>224</v>
      </c>
      <c r="I158" s="21">
        <v>0</v>
      </c>
      <c r="J158" s="21">
        <v>0</v>
      </c>
      <c r="K158" s="34">
        <v>80</v>
      </c>
      <c r="L158" s="34">
        <v>0</v>
      </c>
      <c r="M158" s="34">
        <v>0</v>
      </c>
    </row>
    <row r="159" spans="1:13" ht="47.25">
      <c r="A159" s="221"/>
      <c r="B159" s="221"/>
      <c r="C159" s="241"/>
      <c r="D159" s="177" t="s">
        <v>339</v>
      </c>
      <c r="E159" s="86" t="s">
        <v>41</v>
      </c>
      <c r="F159" s="87" t="s">
        <v>30</v>
      </c>
      <c r="G159" s="88">
        <v>200</v>
      </c>
      <c r="H159" s="175" t="s">
        <v>224</v>
      </c>
      <c r="I159" s="48">
        <v>0</v>
      </c>
      <c r="J159" s="48">
        <v>0</v>
      </c>
      <c r="K159" s="49">
        <v>30</v>
      </c>
      <c r="L159" s="49">
        <v>0</v>
      </c>
      <c r="M159" s="49">
        <v>0</v>
      </c>
    </row>
    <row r="160" spans="1:13" ht="63">
      <c r="A160" s="221"/>
      <c r="B160" s="221"/>
      <c r="C160" s="241"/>
      <c r="D160" s="177" t="s">
        <v>407</v>
      </c>
      <c r="E160" s="86" t="s">
        <v>41</v>
      </c>
      <c r="F160" s="87" t="s">
        <v>30</v>
      </c>
      <c r="G160" s="88">
        <v>75</v>
      </c>
      <c r="H160" s="6" t="s">
        <v>197</v>
      </c>
      <c r="I160" s="48">
        <v>0</v>
      </c>
      <c r="J160" s="48">
        <v>0</v>
      </c>
      <c r="K160" s="49">
        <v>74.55</v>
      </c>
      <c r="L160" s="49">
        <v>0</v>
      </c>
      <c r="M160" s="49">
        <v>0</v>
      </c>
    </row>
    <row r="161" spans="1:13" ht="77.25" customHeight="1">
      <c r="A161" s="221"/>
      <c r="B161" s="221"/>
      <c r="C161" s="241"/>
      <c r="D161" s="177" t="s">
        <v>338</v>
      </c>
      <c r="E161" s="86" t="s">
        <v>41</v>
      </c>
      <c r="F161" s="87" t="s">
        <v>30</v>
      </c>
      <c r="G161" s="88">
        <v>5420</v>
      </c>
      <c r="H161" s="6" t="s">
        <v>197</v>
      </c>
      <c r="I161" s="48">
        <v>0</v>
      </c>
      <c r="J161" s="48">
        <v>0</v>
      </c>
      <c r="K161" s="49">
        <v>1036.45</v>
      </c>
      <c r="L161" s="49">
        <v>0</v>
      </c>
      <c r="M161" s="49">
        <v>0</v>
      </c>
    </row>
    <row r="162" spans="1:13" ht="104.25" customHeight="1">
      <c r="A162" s="221"/>
      <c r="B162" s="221"/>
      <c r="C162" s="241"/>
      <c r="D162" s="5" t="s">
        <v>337</v>
      </c>
      <c r="E162" s="86" t="s">
        <v>41</v>
      </c>
      <c r="F162" s="87" t="s">
        <v>30</v>
      </c>
      <c r="G162" s="88">
        <v>80</v>
      </c>
      <c r="H162" s="6" t="s">
        <v>197</v>
      </c>
      <c r="I162" s="48">
        <v>0</v>
      </c>
      <c r="J162" s="48">
        <v>0</v>
      </c>
      <c r="K162" s="49">
        <v>39.51</v>
      </c>
      <c r="L162" s="49">
        <v>0</v>
      </c>
      <c r="M162" s="49">
        <v>0</v>
      </c>
    </row>
    <row r="163" spans="1:13" ht="47.25">
      <c r="A163" s="221"/>
      <c r="B163" s="221"/>
      <c r="C163" s="241"/>
      <c r="D163" s="15" t="s">
        <v>408</v>
      </c>
      <c r="E163" s="86" t="s">
        <v>41</v>
      </c>
      <c r="F163" s="87" t="s">
        <v>30</v>
      </c>
      <c r="G163" s="23">
        <v>100</v>
      </c>
      <c r="H163" s="208" t="s">
        <v>405</v>
      </c>
      <c r="I163" s="21" t="s">
        <v>10</v>
      </c>
      <c r="J163" s="21" t="s">
        <v>10</v>
      </c>
      <c r="K163" s="34">
        <v>100</v>
      </c>
      <c r="L163" s="34">
        <v>0</v>
      </c>
      <c r="M163" s="34">
        <v>0</v>
      </c>
    </row>
    <row r="164" spans="1:13" ht="32.25" customHeight="1">
      <c r="A164" s="222"/>
      <c r="B164" s="222"/>
      <c r="C164" s="241"/>
      <c r="D164" s="15" t="s">
        <v>235</v>
      </c>
      <c r="E164" s="19" t="s">
        <v>10</v>
      </c>
      <c r="F164" s="19" t="s">
        <v>10</v>
      </c>
      <c r="G164" s="23" t="s">
        <v>10</v>
      </c>
      <c r="H164" s="20" t="s">
        <v>10</v>
      </c>
      <c r="I164" s="23" t="s">
        <v>10</v>
      </c>
      <c r="J164" s="23" t="s">
        <v>10</v>
      </c>
      <c r="K164" s="34">
        <v>0</v>
      </c>
      <c r="L164" s="34">
        <v>426</v>
      </c>
      <c r="M164" s="34">
        <v>426</v>
      </c>
    </row>
    <row r="165" spans="1:13" ht="66" customHeight="1">
      <c r="A165" s="223" t="s">
        <v>39</v>
      </c>
      <c r="B165" s="223" t="s">
        <v>193</v>
      </c>
      <c r="C165" s="223" t="s">
        <v>36</v>
      </c>
      <c r="D165" s="15" t="s">
        <v>53</v>
      </c>
      <c r="E165" s="7" t="s">
        <v>41</v>
      </c>
      <c r="F165" s="2" t="s">
        <v>30</v>
      </c>
      <c r="G165" s="21">
        <v>50</v>
      </c>
      <c r="H165" s="6" t="s">
        <v>224</v>
      </c>
      <c r="I165" s="21">
        <v>50</v>
      </c>
      <c r="J165" s="21">
        <v>50</v>
      </c>
      <c r="K165" s="34">
        <v>307.10000000000002</v>
      </c>
      <c r="L165" s="34">
        <v>200</v>
      </c>
      <c r="M165" s="34">
        <v>200</v>
      </c>
    </row>
    <row r="166" spans="1:13" ht="54.75" customHeight="1">
      <c r="A166" s="223"/>
      <c r="B166" s="223"/>
      <c r="C166" s="223"/>
      <c r="D166" s="15" t="s">
        <v>231</v>
      </c>
      <c r="E166" s="7" t="s">
        <v>41</v>
      </c>
      <c r="F166" s="54" t="s">
        <v>30</v>
      </c>
      <c r="G166" s="21" t="s">
        <v>10</v>
      </c>
      <c r="H166" s="20" t="s">
        <v>10</v>
      </c>
      <c r="I166" s="21">
        <v>50</v>
      </c>
      <c r="J166" s="21">
        <v>50</v>
      </c>
      <c r="K166" s="34">
        <v>0</v>
      </c>
      <c r="L166" s="34">
        <v>200</v>
      </c>
      <c r="M166" s="34">
        <v>200</v>
      </c>
    </row>
    <row r="167" spans="1:13" ht="31.5">
      <c r="A167" s="223"/>
      <c r="B167" s="223"/>
      <c r="C167" s="223"/>
      <c r="D167" s="1" t="s">
        <v>56</v>
      </c>
      <c r="E167" s="86" t="s">
        <v>41</v>
      </c>
      <c r="F167" s="87" t="s">
        <v>30</v>
      </c>
      <c r="G167" s="48">
        <f>10000-100</f>
        <v>9900</v>
      </c>
      <c r="H167" s="60" t="s">
        <v>228</v>
      </c>
      <c r="I167" s="48">
        <v>10000</v>
      </c>
      <c r="J167" s="48">
        <v>10000</v>
      </c>
      <c r="K167" s="49">
        <v>1310.68</v>
      </c>
      <c r="L167" s="49">
        <v>350</v>
      </c>
      <c r="M167" s="34">
        <v>350</v>
      </c>
    </row>
    <row r="168" spans="1:13" ht="47.25">
      <c r="A168" s="223"/>
      <c r="B168" s="223"/>
      <c r="C168" s="223"/>
      <c r="D168" s="5" t="s">
        <v>394</v>
      </c>
      <c r="E168" s="7" t="s">
        <v>41</v>
      </c>
      <c r="F168" s="54" t="s">
        <v>30</v>
      </c>
      <c r="G168" s="21">
        <v>150</v>
      </c>
      <c r="H168" s="6" t="s">
        <v>230</v>
      </c>
      <c r="I168" s="21">
        <v>150</v>
      </c>
      <c r="J168" s="21">
        <v>150</v>
      </c>
      <c r="K168" s="34">
        <v>300</v>
      </c>
      <c r="L168" s="34">
        <v>300</v>
      </c>
      <c r="M168" s="34">
        <v>300</v>
      </c>
    </row>
    <row r="169" spans="1:13" ht="47.25">
      <c r="A169" s="223"/>
      <c r="B169" s="223"/>
      <c r="C169" s="223"/>
      <c r="D169" s="5" t="s">
        <v>411</v>
      </c>
      <c r="E169" s="7" t="s">
        <v>41</v>
      </c>
      <c r="F169" s="54" t="s">
        <v>30</v>
      </c>
      <c r="G169" s="21">
        <v>420</v>
      </c>
      <c r="H169" s="6" t="s">
        <v>198</v>
      </c>
      <c r="I169" s="21">
        <v>700</v>
      </c>
      <c r="J169" s="21">
        <v>700</v>
      </c>
      <c r="K169" s="34">
        <v>194</v>
      </c>
      <c r="L169" s="34">
        <v>250</v>
      </c>
      <c r="M169" s="34">
        <v>250</v>
      </c>
    </row>
    <row r="170" spans="1:13" ht="31.5">
      <c r="A170" s="223"/>
      <c r="B170" s="223"/>
      <c r="C170" s="223"/>
      <c r="D170" s="68" t="s">
        <v>135</v>
      </c>
      <c r="E170" s="7" t="s">
        <v>41</v>
      </c>
      <c r="F170" s="54" t="s">
        <v>30</v>
      </c>
      <c r="G170" s="21">
        <v>50</v>
      </c>
      <c r="H170" s="6" t="s">
        <v>230</v>
      </c>
      <c r="I170" s="21">
        <v>50</v>
      </c>
      <c r="J170" s="21">
        <v>50</v>
      </c>
      <c r="K170" s="34">
        <v>599.33000000000004</v>
      </c>
      <c r="L170" s="34">
        <v>100</v>
      </c>
      <c r="M170" s="34">
        <v>100</v>
      </c>
    </row>
    <row r="171" spans="1:13" ht="66.75" customHeight="1">
      <c r="A171" s="223"/>
      <c r="B171" s="223"/>
      <c r="C171" s="223"/>
      <c r="D171" s="15" t="s">
        <v>257</v>
      </c>
      <c r="E171" s="7" t="s">
        <v>41</v>
      </c>
      <c r="F171" s="54" t="s">
        <v>30</v>
      </c>
      <c r="G171" s="48">
        <v>100</v>
      </c>
      <c r="H171" s="60" t="s">
        <v>195</v>
      </c>
      <c r="I171" s="48" t="s">
        <v>10</v>
      </c>
      <c r="J171" s="48" t="s">
        <v>10</v>
      </c>
      <c r="K171" s="49">
        <v>200</v>
      </c>
      <c r="L171" s="49">
        <v>0</v>
      </c>
      <c r="M171" s="49">
        <v>0</v>
      </c>
    </row>
    <row r="172" spans="1:13" ht="78.75" customHeight="1">
      <c r="A172" s="223"/>
      <c r="B172" s="223"/>
      <c r="C172" s="223"/>
      <c r="D172" s="89" t="s">
        <v>410</v>
      </c>
      <c r="E172" s="7" t="s">
        <v>41</v>
      </c>
      <c r="F172" s="54" t="s">
        <v>30</v>
      </c>
      <c r="G172" s="48">
        <v>799</v>
      </c>
      <c r="H172" s="60" t="s">
        <v>259</v>
      </c>
      <c r="I172" s="48" t="s">
        <v>10</v>
      </c>
      <c r="J172" s="48" t="s">
        <v>10</v>
      </c>
      <c r="K172" s="49">
        <v>145</v>
      </c>
      <c r="L172" s="49">
        <v>0</v>
      </c>
      <c r="M172" s="49">
        <v>0</v>
      </c>
    </row>
    <row r="173" spans="1:13" ht="93" customHeight="1">
      <c r="A173" s="223"/>
      <c r="B173" s="223"/>
      <c r="C173" s="223"/>
      <c r="D173" s="178" t="s">
        <v>258</v>
      </c>
      <c r="E173" s="86" t="s">
        <v>41</v>
      </c>
      <c r="F173" s="87" t="s">
        <v>30</v>
      </c>
      <c r="G173" s="48">
        <v>150</v>
      </c>
      <c r="H173" s="60" t="s">
        <v>259</v>
      </c>
      <c r="I173" s="48" t="s">
        <v>10</v>
      </c>
      <c r="J173" s="48" t="s">
        <v>10</v>
      </c>
      <c r="K173" s="49">
        <v>400</v>
      </c>
      <c r="L173" s="49">
        <v>0</v>
      </c>
      <c r="M173" s="49">
        <v>0</v>
      </c>
    </row>
    <row r="174" spans="1:13" ht="63">
      <c r="A174" s="223"/>
      <c r="B174" s="223"/>
      <c r="C174" s="223"/>
      <c r="D174" s="15" t="s">
        <v>392</v>
      </c>
      <c r="E174" s="7" t="s">
        <v>41</v>
      </c>
      <c r="F174" s="54" t="s">
        <v>30</v>
      </c>
      <c r="G174" s="21">
        <v>560</v>
      </c>
      <c r="H174" s="6" t="s">
        <v>197</v>
      </c>
      <c r="I174" s="21" t="s">
        <v>10</v>
      </c>
      <c r="J174" s="21" t="s">
        <v>10</v>
      </c>
      <c r="K174" s="34">
        <v>450</v>
      </c>
      <c r="L174" s="34">
        <v>0</v>
      </c>
      <c r="M174" s="34">
        <v>0</v>
      </c>
    </row>
    <row r="175" spans="1:13" ht="47.25">
      <c r="A175" s="223"/>
      <c r="B175" s="223"/>
      <c r="C175" s="223"/>
      <c r="D175" s="15" t="s">
        <v>336</v>
      </c>
      <c r="E175" s="7" t="s">
        <v>41</v>
      </c>
      <c r="F175" s="54" t="s">
        <v>30</v>
      </c>
      <c r="G175" s="21">
        <v>321</v>
      </c>
      <c r="H175" s="198" t="s">
        <v>197</v>
      </c>
      <c r="I175" s="21" t="s">
        <v>10</v>
      </c>
      <c r="J175" s="21" t="s">
        <v>10</v>
      </c>
      <c r="K175" s="34">
        <v>674.64</v>
      </c>
      <c r="L175" s="34">
        <v>0</v>
      </c>
      <c r="M175" s="34">
        <v>0</v>
      </c>
    </row>
    <row r="176" spans="1:13" ht="31.5">
      <c r="A176" s="223"/>
      <c r="B176" s="223"/>
      <c r="C176" s="223"/>
      <c r="D176" s="15" t="s">
        <v>279</v>
      </c>
      <c r="E176" s="7" t="s">
        <v>41</v>
      </c>
      <c r="F176" s="54" t="s">
        <v>30</v>
      </c>
      <c r="G176" s="23">
        <v>450</v>
      </c>
      <c r="H176" s="198" t="s">
        <v>391</v>
      </c>
      <c r="I176" s="21" t="s">
        <v>10</v>
      </c>
      <c r="J176" s="21" t="s">
        <v>10</v>
      </c>
      <c r="K176" s="34">
        <v>105.9</v>
      </c>
      <c r="L176" s="34">
        <v>0</v>
      </c>
      <c r="M176" s="34">
        <v>0</v>
      </c>
    </row>
    <row r="177" spans="1:13" ht="31.5">
      <c r="A177" s="223"/>
      <c r="B177" s="223"/>
      <c r="C177" s="223"/>
      <c r="D177" s="15" t="s">
        <v>413</v>
      </c>
      <c r="E177" s="7" t="s">
        <v>41</v>
      </c>
      <c r="F177" s="54" t="s">
        <v>30</v>
      </c>
      <c r="G177" s="23">
        <v>1000</v>
      </c>
      <c r="H177" s="198" t="s">
        <v>230</v>
      </c>
      <c r="I177" s="21" t="s">
        <v>10</v>
      </c>
      <c r="J177" s="21" t="s">
        <v>10</v>
      </c>
      <c r="K177" s="34">
        <v>100</v>
      </c>
      <c r="L177" s="34">
        <v>0</v>
      </c>
      <c r="M177" s="34">
        <v>0</v>
      </c>
    </row>
    <row r="178" spans="1:13" ht="31.5">
      <c r="A178" s="223"/>
      <c r="B178" s="223"/>
      <c r="C178" s="223"/>
      <c r="D178" s="5" t="s">
        <v>412</v>
      </c>
      <c r="E178" s="7" t="s">
        <v>41</v>
      </c>
      <c r="F178" s="54" t="s">
        <v>30</v>
      </c>
      <c r="G178" s="23">
        <v>50</v>
      </c>
      <c r="H178" s="198" t="s">
        <v>230</v>
      </c>
      <c r="I178" s="21" t="s">
        <v>10</v>
      </c>
      <c r="J178" s="21" t="s">
        <v>10</v>
      </c>
      <c r="K178" s="34">
        <v>120</v>
      </c>
      <c r="L178" s="34">
        <v>0</v>
      </c>
      <c r="M178" s="34">
        <v>0</v>
      </c>
    </row>
    <row r="179" spans="1:13">
      <c r="A179" s="223"/>
      <c r="B179" s="223"/>
      <c r="C179" s="223"/>
      <c r="D179" s="15" t="s">
        <v>235</v>
      </c>
      <c r="E179" s="179" t="s">
        <v>10</v>
      </c>
      <c r="F179" s="179" t="s">
        <v>10</v>
      </c>
      <c r="G179" s="180" t="s">
        <v>10</v>
      </c>
      <c r="H179" s="176" t="s">
        <v>10</v>
      </c>
      <c r="I179" s="180" t="s">
        <v>10</v>
      </c>
      <c r="J179" s="180" t="s">
        <v>10</v>
      </c>
      <c r="K179" s="34">
        <v>0</v>
      </c>
      <c r="L179" s="181">
        <v>795</v>
      </c>
      <c r="M179" s="181">
        <v>795</v>
      </c>
    </row>
    <row r="180" spans="1:13" ht="31.5">
      <c r="A180" s="220" t="s">
        <v>39</v>
      </c>
      <c r="B180" s="220" t="s">
        <v>193</v>
      </c>
      <c r="C180" s="220" t="s">
        <v>32</v>
      </c>
      <c r="D180" s="27" t="s">
        <v>143</v>
      </c>
      <c r="E180" s="26" t="s">
        <v>41</v>
      </c>
      <c r="F180" s="47" t="s">
        <v>30</v>
      </c>
      <c r="G180" s="47" t="s">
        <v>10</v>
      </c>
      <c r="H180" s="174" t="s">
        <v>10</v>
      </c>
      <c r="I180" s="48">
        <v>799</v>
      </c>
      <c r="J180" s="48" t="s">
        <v>115</v>
      </c>
      <c r="K180" s="49">
        <v>0</v>
      </c>
      <c r="L180" s="49">
        <v>385</v>
      </c>
      <c r="M180" s="49">
        <v>385</v>
      </c>
    </row>
    <row r="181" spans="1:13" ht="47.25">
      <c r="A181" s="221"/>
      <c r="B181" s="221"/>
      <c r="C181" s="221"/>
      <c r="D181" s="24" t="s">
        <v>51</v>
      </c>
      <c r="E181" s="7" t="s">
        <v>41</v>
      </c>
      <c r="F181" s="2" t="s">
        <v>30</v>
      </c>
      <c r="G181" s="21">
        <v>799</v>
      </c>
      <c r="H181" s="6" t="s">
        <v>233</v>
      </c>
      <c r="I181" s="21" t="s">
        <v>115</v>
      </c>
      <c r="J181" s="21" t="s">
        <v>115</v>
      </c>
      <c r="K181" s="34">
        <f>480.13-260.6</f>
        <v>219.52999999999997</v>
      </c>
      <c r="L181" s="34">
        <v>480.13</v>
      </c>
      <c r="M181" s="34">
        <v>480.13</v>
      </c>
    </row>
    <row r="182" spans="1:13" ht="47.25">
      <c r="A182" s="221"/>
      <c r="B182" s="221"/>
      <c r="C182" s="221"/>
      <c r="D182" s="24" t="s">
        <v>52</v>
      </c>
      <c r="E182" s="7" t="s">
        <v>41</v>
      </c>
      <c r="F182" s="2" t="s">
        <v>30</v>
      </c>
      <c r="G182" s="21">
        <v>799</v>
      </c>
      <c r="H182" s="6" t="s">
        <v>196</v>
      </c>
      <c r="I182" s="21" t="s">
        <v>115</v>
      </c>
      <c r="J182" s="21" t="s">
        <v>115</v>
      </c>
      <c r="K182" s="34">
        <f>350-48.21</f>
        <v>301.79000000000002</v>
      </c>
      <c r="L182" s="34">
        <v>350</v>
      </c>
      <c r="M182" s="34">
        <v>350</v>
      </c>
    </row>
    <row r="183" spans="1:13" ht="47.25">
      <c r="A183" s="221"/>
      <c r="B183" s="221"/>
      <c r="C183" s="221"/>
      <c r="D183" s="25" t="s">
        <v>54</v>
      </c>
      <c r="E183" s="12" t="s">
        <v>41</v>
      </c>
      <c r="F183" s="10" t="s">
        <v>30</v>
      </c>
      <c r="G183" s="21">
        <v>2553</v>
      </c>
      <c r="H183" s="6" t="s">
        <v>240</v>
      </c>
      <c r="I183" s="21" t="s">
        <v>116</v>
      </c>
      <c r="J183" s="21" t="s">
        <v>116</v>
      </c>
      <c r="K183" s="34">
        <f>300+48.21+260.6+51.12</f>
        <v>659.93</v>
      </c>
      <c r="L183" s="34">
        <v>300</v>
      </c>
      <c r="M183" s="34">
        <v>300</v>
      </c>
    </row>
    <row r="184" spans="1:13" ht="47.25">
      <c r="A184" s="221"/>
      <c r="B184" s="221"/>
      <c r="C184" s="221"/>
      <c r="D184" s="25" t="s">
        <v>297</v>
      </c>
      <c r="E184" s="12" t="s">
        <v>41</v>
      </c>
      <c r="F184" s="10" t="s">
        <v>30</v>
      </c>
      <c r="G184" s="23">
        <v>799</v>
      </c>
      <c r="H184" s="20" t="s">
        <v>199</v>
      </c>
      <c r="I184" s="21">
        <v>799</v>
      </c>
      <c r="J184" s="21">
        <v>799</v>
      </c>
      <c r="K184" s="34">
        <f>250-50</f>
        <v>200</v>
      </c>
      <c r="L184" s="34">
        <v>250</v>
      </c>
      <c r="M184" s="34">
        <v>250</v>
      </c>
    </row>
    <row r="185" spans="1:13" ht="31.5">
      <c r="A185" s="221"/>
      <c r="B185" s="221"/>
      <c r="C185" s="221"/>
      <c r="D185" s="15" t="s">
        <v>126</v>
      </c>
      <c r="E185" s="12" t="s">
        <v>41</v>
      </c>
      <c r="F185" s="10" t="s">
        <v>30</v>
      </c>
      <c r="G185" s="21">
        <v>4161</v>
      </c>
      <c r="H185" s="20" t="s">
        <v>239</v>
      </c>
      <c r="I185" s="21">
        <v>4161</v>
      </c>
      <c r="J185" s="21">
        <v>4161</v>
      </c>
      <c r="K185" s="34">
        <v>241</v>
      </c>
      <c r="L185" s="34">
        <v>200</v>
      </c>
      <c r="M185" s="34">
        <v>200</v>
      </c>
    </row>
    <row r="186" spans="1:13" ht="47.25">
      <c r="A186" s="221"/>
      <c r="B186" s="221"/>
      <c r="C186" s="221"/>
      <c r="D186" s="12" t="s">
        <v>55</v>
      </c>
      <c r="E186" s="12" t="s">
        <v>41</v>
      </c>
      <c r="F186" s="10" t="s">
        <v>30</v>
      </c>
      <c r="G186" s="21">
        <v>30000</v>
      </c>
      <c r="H186" s="6" t="s">
        <v>199</v>
      </c>
      <c r="I186" s="21">
        <v>30000</v>
      </c>
      <c r="J186" s="21">
        <v>30000</v>
      </c>
      <c r="K186" s="34">
        <f>354.125+455</f>
        <v>809.125</v>
      </c>
      <c r="L186" s="34">
        <v>815</v>
      </c>
      <c r="M186" s="34">
        <v>815</v>
      </c>
    </row>
    <row r="187" spans="1:13" ht="52.5" customHeight="1">
      <c r="A187" s="221"/>
      <c r="B187" s="221"/>
      <c r="C187" s="221"/>
      <c r="D187" s="12" t="s">
        <v>335</v>
      </c>
      <c r="E187" s="12" t="s">
        <v>41</v>
      </c>
      <c r="F187" s="10" t="s">
        <v>30</v>
      </c>
      <c r="G187" s="21">
        <v>5000</v>
      </c>
      <c r="H187" s="6" t="s">
        <v>199</v>
      </c>
      <c r="I187" s="21">
        <v>0</v>
      </c>
      <c r="J187" s="21">
        <v>0</v>
      </c>
      <c r="K187" s="34">
        <v>413.24</v>
      </c>
      <c r="L187" s="34">
        <v>0</v>
      </c>
      <c r="M187" s="34">
        <v>0</v>
      </c>
    </row>
    <row r="188" spans="1:13" ht="54.75" customHeight="1">
      <c r="A188" s="221"/>
      <c r="B188" s="221"/>
      <c r="C188" s="221"/>
      <c r="D188" s="25" t="s">
        <v>48</v>
      </c>
      <c r="E188" s="12" t="s">
        <v>41</v>
      </c>
      <c r="F188" s="10" t="s">
        <v>30</v>
      </c>
      <c r="G188" s="21">
        <v>43000</v>
      </c>
      <c r="H188" s="6" t="s">
        <v>197</v>
      </c>
      <c r="I188" s="21">
        <v>43000</v>
      </c>
      <c r="J188" s="21">
        <v>43000</v>
      </c>
      <c r="K188" s="34">
        <v>7652.04</v>
      </c>
      <c r="L188" s="34">
        <v>9546.58</v>
      </c>
      <c r="M188" s="34">
        <v>9546.58</v>
      </c>
    </row>
    <row r="189" spans="1:13" ht="31.5">
      <c r="A189" s="221"/>
      <c r="B189" s="221"/>
      <c r="C189" s="221"/>
      <c r="D189" s="24" t="s">
        <v>57</v>
      </c>
      <c r="E189" s="7" t="s">
        <v>41</v>
      </c>
      <c r="F189" s="41" t="s">
        <v>30</v>
      </c>
      <c r="G189" s="18">
        <v>4000</v>
      </c>
      <c r="H189" s="6" t="s">
        <v>238</v>
      </c>
      <c r="I189" s="21">
        <v>4000</v>
      </c>
      <c r="J189" s="21" t="s">
        <v>58</v>
      </c>
      <c r="K189" s="34">
        <v>2433.62</v>
      </c>
      <c r="L189" s="34">
        <v>260</v>
      </c>
      <c r="M189" s="34">
        <v>260</v>
      </c>
    </row>
    <row r="190" spans="1:13" ht="34.5" customHeight="1">
      <c r="A190" s="221"/>
      <c r="B190" s="221"/>
      <c r="C190" s="221"/>
      <c r="D190" s="24" t="s">
        <v>234</v>
      </c>
      <c r="E190" s="7" t="s">
        <v>41</v>
      </c>
      <c r="F190" s="54" t="s">
        <v>30</v>
      </c>
      <c r="G190" s="18">
        <v>799</v>
      </c>
      <c r="H190" s="6" t="s">
        <v>232</v>
      </c>
      <c r="I190" s="21">
        <v>799</v>
      </c>
      <c r="J190" s="21">
        <v>799</v>
      </c>
      <c r="K190" s="34">
        <v>123.5</v>
      </c>
      <c r="L190" s="34">
        <v>123.5</v>
      </c>
      <c r="M190" s="34">
        <v>123.5</v>
      </c>
    </row>
    <row r="191" spans="1:13" ht="31.5">
      <c r="A191" s="222"/>
      <c r="B191" s="222"/>
      <c r="C191" s="222"/>
      <c r="D191" s="37" t="s">
        <v>393</v>
      </c>
      <c r="E191" s="37" t="s">
        <v>123</v>
      </c>
      <c r="F191" s="36" t="s">
        <v>30</v>
      </c>
      <c r="G191" s="36">
        <v>2</v>
      </c>
      <c r="H191" s="6" t="s">
        <v>236</v>
      </c>
      <c r="I191" s="36">
        <v>2</v>
      </c>
      <c r="J191" s="36">
        <v>2</v>
      </c>
      <c r="K191" s="34">
        <v>1287.08</v>
      </c>
      <c r="L191" s="34">
        <v>1395.91</v>
      </c>
      <c r="M191" s="34">
        <v>1395.91</v>
      </c>
    </row>
    <row r="192" spans="1:13" ht="63">
      <c r="A192" s="197" t="s">
        <v>39</v>
      </c>
      <c r="B192" s="146" t="s">
        <v>193</v>
      </c>
      <c r="C192" s="146" t="s">
        <v>14</v>
      </c>
      <c r="D192" s="15" t="s">
        <v>409</v>
      </c>
      <c r="E192" s="7" t="s">
        <v>41</v>
      </c>
      <c r="F192" s="54" t="s">
        <v>30</v>
      </c>
      <c r="G192" s="54">
        <v>900</v>
      </c>
      <c r="H192" s="20" t="s">
        <v>346</v>
      </c>
      <c r="I192" s="54">
        <v>950</v>
      </c>
      <c r="J192" s="54">
        <v>970</v>
      </c>
      <c r="K192" s="34">
        <v>250</v>
      </c>
      <c r="L192" s="34">
        <v>250</v>
      </c>
      <c r="M192" s="34">
        <v>250</v>
      </c>
    </row>
    <row r="193" spans="1:14" ht="204.75">
      <c r="A193" s="219" t="s">
        <v>59</v>
      </c>
      <c r="B193" s="219" t="s">
        <v>10</v>
      </c>
      <c r="C193" s="219" t="s">
        <v>10</v>
      </c>
      <c r="D193" s="239" t="s">
        <v>60</v>
      </c>
      <c r="E193" s="205" t="s">
        <v>127</v>
      </c>
      <c r="F193" s="81" t="s">
        <v>13</v>
      </c>
      <c r="G193" s="85">
        <f>G200+G198</f>
        <v>15</v>
      </c>
      <c r="H193" s="203" t="s">
        <v>10</v>
      </c>
      <c r="I193" s="85">
        <f>I200+I198</f>
        <v>15</v>
      </c>
      <c r="J193" s="85">
        <v>12</v>
      </c>
      <c r="K193" s="236">
        <f>K196</f>
        <v>24880.74</v>
      </c>
      <c r="L193" s="236">
        <f t="shared" ref="L193:M193" si="22">L196</f>
        <v>24307.440000000002</v>
      </c>
      <c r="M193" s="236">
        <f t="shared" si="22"/>
        <v>10488</v>
      </c>
    </row>
    <row r="194" spans="1:14" ht="67.5" customHeight="1">
      <c r="A194" s="219"/>
      <c r="B194" s="219"/>
      <c r="C194" s="219"/>
      <c r="D194" s="269"/>
      <c r="E194" s="206" t="s">
        <v>345</v>
      </c>
      <c r="F194" s="81" t="s">
        <v>13</v>
      </c>
      <c r="G194" s="81">
        <v>3</v>
      </c>
      <c r="H194" s="203" t="s">
        <v>10</v>
      </c>
      <c r="I194" s="81">
        <v>3</v>
      </c>
      <c r="J194" s="85">
        <v>3</v>
      </c>
      <c r="K194" s="237"/>
      <c r="L194" s="237"/>
      <c r="M194" s="237"/>
    </row>
    <row r="195" spans="1:14" ht="108.75" customHeight="1">
      <c r="A195" s="219"/>
      <c r="B195" s="219"/>
      <c r="C195" s="219"/>
      <c r="D195" s="240"/>
      <c r="E195" s="207" t="s">
        <v>128</v>
      </c>
      <c r="F195" s="81" t="s">
        <v>101</v>
      </c>
      <c r="G195" s="204">
        <v>43888</v>
      </c>
      <c r="H195" s="203" t="s">
        <v>10</v>
      </c>
      <c r="I195" s="204">
        <v>43888</v>
      </c>
      <c r="J195" s="204">
        <v>43888</v>
      </c>
      <c r="K195" s="238"/>
      <c r="L195" s="238"/>
      <c r="M195" s="238"/>
    </row>
    <row r="196" spans="1:14" ht="47.25">
      <c r="A196" s="133" t="s">
        <v>59</v>
      </c>
      <c r="B196" s="143" t="s">
        <v>242</v>
      </c>
      <c r="C196" s="133" t="s">
        <v>10</v>
      </c>
      <c r="D196" s="90" t="s">
        <v>241</v>
      </c>
      <c r="E196" s="131" t="s">
        <v>120</v>
      </c>
      <c r="F196" s="132" t="s">
        <v>132</v>
      </c>
      <c r="G196" s="187" t="s">
        <v>347</v>
      </c>
      <c r="H196" s="133" t="s">
        <v>10</v>
      </c>
      <c r="I196" s="187" t="s">
        <v>347</v>
      </c>
      <c r="J196" s="187" t="s">
        <v>347</v>
      </c>
      <c r="K196" s="91">
        <f>SUM(K197:K200)</f>
        <v>24880.74</v>
      </c>
      <c r="L196" s="91">
        <f t="shared" ref="L196:M196" si="23">SUM(L197:L200)</f>
        <v>24307.440000000002</v>
      </c>
      <c r="M196" s="91">
        <f t="shared" si="23"/>
        <v>10488</v>
      </c>
    </row>
    <row r="197" spans="1:14" ht="94.5" customHeight="1">
      <c r="A197" s="220" t="s">
        <v>59</v>
      </c>
      <c r="B197" s="220" t="s">
        <v>242</v>
      </c>
      <c r="C197" s="223" t="s">
        <v>117</v>
      </c>
      <c r="D197" s="7" t="s">
        <v>298</v>
      </c>
      <c r="E197" s="16" t="s">
        <v>102</v>
      </c>
      <c r="F197" s="2" t="s">
        <v>101</v>
      </c>
      <c r="G197" s="186">
        <v>43888</v>
      </c>
      <c r="H197" s="8" t="s">
        <v>186</v>
      </c>
      <c r="I197" s="186">
        <v>43888</v>
      </c>
      <c r="J197" s="186">
        <v>43888</v>
      </c>
      <c r="K197" s="11">
        <f>5173.56+743.66</f>
        <v>5917.22</v>
      </c>
      <c r="L197" s="11">
        <v>7243.66</v>
      </c>
      <c r="M197" s="11">
        <v>7243.66</v>
      </c>
      <c r="N197" s="13"/>
    </row>
    <row r="198" spans="1:14" ht="141.75">
      <c r="A198" s="221"/>
      <c r="B198" s="221"/>
      <c r="C198" s="223"/>
      <c r="D198" s="7" t="s">
        <v>299</v>
      </c>
      <c r="E198" s="7" t="s">
        <v>15</v>
      </c>
      <c r="F198" s="38" t="s">
        <v>13</v>
      </c>
      <c r="G198" s="21">
        <v>12</v>
      </c>
      <c r="H198" s="8" t="s">
        <v>186</v>
      </c>
      <c r="I198" s="21">
        <v>12</v>
      </c>
      <c r="J198" s="21">
        <v>12</v>
      </c>
      <c r="K198" s="11">
        <v>16896.830000000002</v>
      </c>
      <c r="L198" s="11">
        <v>10626.78</v>
      </c>
      <c r="M198" s="11">
        <v>3244.34</v>
      </c>
      <c r="N198" s="13"/>
    </row>
    <row r="199" spans="1:14" ht="82.5" customHeight="1">
      <c r="A199" s="222"/>
      <c r="B199" s="222"/>
      <c r="C199" s="223"/>
      <c r="D199" s="12" t="s">
        <v>345</v>
      </c>
      <c r="E199" s="7" t="s">
        <v>15</v>
      </c>
      <c r="F199" s="38" t="s">
        <v>13</v>
      </c>
      <c r="G199" s="18">
        <v>3</v>
      </c>
      <c r="H199" s="6" t="s">
        <v>186</v>
      </c>
      <c r="I199" s="136">
        <v>0</v>
      </c>
      <c r="J199" s="136">
        <v>0</v>
      </c>
      <c r="K199" s="11">
        <v>18.14</v>
      </c>
      <c r="L199" s="11">
        <v>0</v>
      </c>
      <c r="M199" s="11">
        <v>0</v>
      </c>
      <c r="N199" s="13"/>
    </row>
    <row r="200" spans="1:14" ht="171.75" customHeight="1">
      <c r="A200" s="20" t="s">
        <v>59</v>
      </c>
      <c r="B200" s="144">
        <v>68711</v>
      </c>
      <c r="C200" s="145" t="s">
        <v>266</v>
      </c>
      <c r="D200" s="7" t="s">
        <v>61</v>
      </c>
      <c r="E200" s="7" t="s">
        <v>129</v>
      </c>
      <c r="F200" s="38" t="s">
        <v>13</v>
      </c>
      <c r="G200" s="23">
        <v>3</v>
      </c>
      <c r="H200" s="6" t="s">
        <v>186</v>
      </c>
      <c r="I200" s="23">
        <v>3</v>
      </c>
      <c r="J200" s="21">
        <v>0</v>
      </c>
      <c r="K200" s="11">
        <v>2048.5500000000002</v>
      </c>
      <c r="L200" s="11">
        <v>6437</v>
      </c>
      <c r="M200" s="11">
        <v>0</v>
      </c>
      <c r="N200" s="13"/>
    </row>
    <row r="201" spans="1:14" ht="47.25">
      <c r="A201" s="224" t="s">
        <v>63</v>
      </c>
      <c r="B201" s="224" t="s">
        <v>10</v>
      </c>
      <c r="C201" s="224" t="s">
        <v>10</v>
      </c>
      <c r="D201" s="239" t="s">
        <v>64</v>
      </c>
      <c r="E201" s="92" t="s">
        <v>131</v>
      </c>
      <c r="F201" s="77" t="s">
        <v>65</v>
      </c>
      <c r="G201" s="108">
        <f>G203+G214</f>
        <v>5.9269999999999996</v>
      </c>
      <c r="H201" s="77" t="s">
        <v>186</v>
      </c>
      <c r="I201" s="108">
        <v>6.1</v>
      </c>
      <c r="J201" s="108">
        <v>6.1</v>
      </c>
      <c r="K201" s="230">
        <f>K203+K225+K214</f>
        <v>402569.29</v>
      </c>
      <c r="L201" s="230">
        <f>L203+L225+L214</f>
        <v>406103.66</v>
      </c>
      <c r="M201" s="230">
        <f>M203+M225+M214</f>
        <v>412616.04000000004</v>
      </c>
    </row>
    <row r="202" spans="1:14" ht="31.5" customHeight="1">
      <c r="A202" s="219"/>
      <c r="B202" s="219"/>
      <c r="C202" s="219"/>
      <c r="D202" s="240"/>
      <c r="E202" s="93" t="s">
        <v>206</v>
      </c>
      <c r="F202" s="76" t="s">
        <v>13</v>
      </c>
      <c r="G202" s="82">
        <v>5</v>
      </c>
      <c r="H202" s="77" t="s">
        <v>186</v>
      </c>
      <c r="I202" s="82">
        <v>5</v>
      </c>
      <c r="J202" s="82">
        <v>5</v>
      </c>
      <c r="K202" s="232"/>
      <c r="L202" s="232"/>
      <c r="M202" s="232"/>
    </row>
    <row r="203" spans="1:14" ht="47.25" customHeight="1">
      <c r="A203" s="97" t="s">
        <v>63</v>
      </c>
      <c r="B203" s="98" t="s">
        <v>201</v>
      </c>
      <c r="C203" s="97" t="s">
        <v>10</v>
      </c>
      <c r="D203" s="114" t="s">
        <v>200</v>
      </c>
      <c r="E203" s="130" t="s">
        <v>66</v>
      </c>
      <c r="F203" s="132" t="s">
        <v>65</v>
      </c>
      <c r="G203" s="99">
        <f>G204+G205+G206+G207+G208+G209+G210+G211+G212</f>
        <v>2.5339999999999998</v>
      </c>
      <c r="H203" s="97" t="s">
        <v>10</v>
      </c>
      <c r="I203" s="99">
        <f>I204+I205+I206+I207+I208+I209+I210+I211+I212</f>
        <v>2.5840000000000001</v>
      </c>
      <c r="J203" s="99">
        <f>J204+J205+J206+J207+J208+J209+J210+J211+J212</f>
        <v>2.5840000000000001</v>
      </c>
      <c r="K203" s="91">
        <f>SUM(K204:K213)</f>
        <v>45885.760000000002</v>
      </c>
      <c r="L203" s="91">
        <f t="shared" ref="L203:M203" si="24">SUM(L204:L213)</f>
        <v>47708.239999999991</v>
      </c>
      <c r="M203" s="91">
        <f t="shared" si="24"/>
        <v>48808.239999999991</v>
      </c>
    </row>
    <row r="204" spans="1:14" ht="31.5">
      <c r="A204" s="6" t="s">
        <v>63</v>
      </c>
      <c r="B204" s="142" t="s">
        <v>201</v>
      </c>
      <c r="C204" s="6" t="s">
        <v>67</v>
      </c>
      <c r="D204" s="24" t="s">
        <v>68</v>
      </c>
      <c r="E204" s="24" t="s">
        <v>66</v>
      </c>
      <c r="F204" s="2" t="s">
        <v>65</v>
      </c>
      <c r="G204" s="22">
        <f>538/1000</f>
        <v>0.53800000000000003</v>
      </c>
      <c r="H204" s="6" t="s">
        <v>145</v>
      </c>
      <c r="I204" s="22">
        <f>538/1000</f>
        <v>0.53800000000000003</v>
      </c>
      <c r="J204" s="22">
        <f>538/1000</f>
        <v>0.53800000000000003</v>
      </c>
      <c r="K204" s="11">
        <v>6310</v>
      </c>
      <c r="L204" s="11">
        <v>6050</v>
      </c>
      <c r="M204" s="11">
        <v>6050</v>
      </c>
    </row>
    <row r="205" spans="1:14" ht="31.5">
      <c r="A205" s="6" t="s">
        <v>63</v>
      </c>
      <c r="B205" s="142" t="s">
        <v>201</v>
      </c>
      <c r="C205" s="6" t="s">
        <v>69</v>
      </c>
      <c r="D205" s="24" t="s">
        <v>68</v>
      </c>
      <c r="E205" s="24" t="s">
        <v>66</v>
      </c>
      <c r="F205" s="2" t="s">
        <v>65</v>
      </c>
      <c r="G205" s="22">
        <f>(37+160)/1000</f>
        <v>0.19700000000000001</v>
      </c>
      <c r="H205" s="6" t="s">
        <v>145</v>
      </c>
      <c r="I205" s="22">
        <f>(37+160)/1000</f>
        <v>0.19700000000000001</v>
      </c>
      <c r="J205" s="22">
        <f>(37+160)/1000</f>
        <v>0.19700000000000001</v>
      </c>
      <c r="K205" s="11">
        <v>2630.5</v>
      </c>
      <c r="L205" s="11">
        <v>2449.3000000000002</v>
      </c>
      <c r="M205" s="11">
        <v>2449.2199999999998</v>
      </c>
    </row>
    <row r="206" spans="1:14" ht="31.5">
      <c r="A206" s="6" t="s">
        <v>63</v>
      </c>
      <c r="B206" s="142" t="s">
        <v>201</v>
      </c>
      <c r="C206" s="6" t="s">
        <v>70</v>
      </c>
      <c r="D206" s="24" t="s">
        <v>68</v>
      </c>
      <c r="E206" s="24" t="s">
        <v>66</v>
      </c>
      <c r="F206" s="2" t="s">
        <v>65</v>
      </c>
      <c r="G206" s="22">
        <f>(46+14)/1000</f>
        <v>0.06</v>
      </c>
      <c r="H206" s="6" t="s">
        <v>145</v>
      </c>
      <c r="I206" s="22">
        <f>(46+14)/1000</f>
        <v>0.06</v>
      </c>
      <c r="J206" s="22">
        <f>(46+14)/1000</f>
        <v>0.06</v>
      </c>
      <c r="K206" s="11">
        <v>3406.75</v>
      </c>
      <c r="L206" s="11">
        <v>3124.83</v>
      </c>
      <c r="M206" s="11">
        <v>3124.83</v>
      </c>
    </row>
    <row r="207" spans="1:14" ht="51" customHeight="1">
      <c r="A207" s="6" t="s">
        <v>63</v>
      </c>
      <c r="B207" s="142" t="s">
        <v>201</v>
      </c>
      <c r="C207" s="6" t="s">
        <v>71</v>
      </c>
      <c r="D207" s="24" t="s">
        <v>68</v>
      </c>
      <c r="E207" s="24" t="s">
        <v>66</v>
      </c>
      <c r="F207" s="2" t="s">
        <v>65</v>
      </c>
      <c r="G207" s="22">
        <f>71/1000</f>
        <v>7.0999999999999994E-2</v>
      </c>
      <c r="H207" s="6" t="s">
        <v>145</v>
      </c>
      <c r="I207" s="22">
        <f>71/1000</f>
        <v>7.0999999999999994E-2</v>
      </c>
      <c r="J207" s="22">
        <f>71/1000</f>
        <v>7.0999999999999994E-2</v>
      </c>
      <c r="K207" s="11">
        <v>4946.0600000000004</v>
      </c>
      <c r="L207" s="11">
        <v>5300</v>
      </c>
      <c r="M207" s="11">
        <v>5300</v>
      </c>
    </row>
    <row r="208" spans="1:14" ht="47.25">
      <c r="A208" s="6" t="s">
        <v>63</v>
      </c>
      <c r="B208" s="142" t="s">
        <v>201</v>
      </c>
      <c r="C208" s="6" t="s">
        <v>72</v>
      </c>
      <c r="D208" s="24" t="s">
        <v>68</v>
      </c>
      <c r="E208" s="24" t="s">
        <v>66</v>
      </c>
      <c r="F208" s="2" t="s">
        <v>65</v>
      </c>
      <c r="G208" s="22">
        <f>(42+346)/1000</f>
        <v>0.38800000000000001</v>
      </c>
      <c r="H208" s="6" t="s">
        <v>145</v>
      </c>
      <c r="I208" s="22">
        <f>(42+346+25)/1000</f>
        <v>0.41299999999999998</v>
      </c>
      <c r="J208" s="22">
        <f>(42+346+25)/1000</f>
        <v>0.41299999999999998</v>
      </c>
      <c r="K208" s="11">
        <v>2672.02</v>
      </c>
      <c r="L208" s="11">
        <v>2470.56</v>
      </c>
      <c r="M208" s="11">
        <v>2470.2399999999998</v>
      </c>
    </row>
    <row r="209" spans="1:13" ht="31.5">
      <c r="A209" s="6" t="s">
        <v>63</v>
      </c>
      <c r="B209" s="142" t="s">
        <v>201</v>
      </c>
      <c r="C209" s="6" t="s">
        <v>73</v>
      </c>
      <c r="D209" s="24" t="s">
        <v>68</v>
      </c>
      <c r="E209" s="24" t="s">
        <v>66</v>
      </c>
      <c r="F209" s="2" t="s">
        <v>65</v>
      </c>
      <c r="G209" s="22">
        <v>0.1</v>
      </c>
      <c r="H209" s="6" t="s">
        <v>145</v>
      </c>
      <c r="I209" s="22">
        <v>0.1</v>
      </c>
      <c r="J209" s="22">
        <v>0.1</v>
      </c>
      <c r="K209" s="11">
        <v>1833.02</v>
      </c>
      <c r="L209" s="11">
        <v>1469.37</v>
      </c>
      <c r="M209" s="11">
        <v>1469.3</v>
      </c>
    </row>
    <row r="210" spans="1:13" ht="31.5">
      <c r="A210" s="6" t="s">
        <v>63</v>
      </c>
      <c r="B210" s="142" t="s">
        <v>201</v>
      </c>
      <c r="C210" s="6" t="s">
        <v>74</v>
      </c>
      <c r="D210" s="24" t="s">
        <v>68</v>
      </c>
      <c r="E210" s="24" t="s">
        <v>66</v>
      </c>
      <c r="F210" s="2" t="s">
        <v>65</v>
      </c>
      <c r="G210" s="22">
        <f>(137+55)/1000</f>
        <v>0.192</v>
      </c>
      <c r="H210" s="6" t="s">
        <v>145</v>
      </c>
      <c r="I210" s="22">
        <f>(137+55)/1000</f>
        <v>0.192</v>
      </c>
      <c r="J210" s="22">
        <f>(137+55)/1000</f>
        <v>0.192</v>
      </c>
      <c r="K210" s="11">
        <v>9670</v>
      </c>
      <c r="L210" s="11">
        <v>9500</v>
      </c>
      <c r="M210" s="11">
        <v>9500</v>
      </c>
    </row>
    <row r="211" spans="1:13" ht="31.5">
      <c r="A211" s="6" t="s">
        <v>63</v>
      </c>
      <c r="B211" s="142" t="s">
        <v>201</v>
      </c>
      <c r="C211" s="6" t="s">
        <v>75</v>
      </c>
      <c r="D211" s="24" t="s">
        <v>68</v>
      </c>
      <c r="E211" s="24" t="s">
        <v>66</v>
      </c>
      <c r="F211" s="2" t="s">
        <v>65</v>
      </c>
      <c r="G211" s="22">
        <f>(90+423+70)/1000</f>
        <v>0.58299999999999996</v>
      </c>
      <c r="H211" s="6" t="s">
        <v>145</v>
      </c>
      <c r="I211" s="22">
        <f>(90+423+70)/1000</f>
        <v>0.58299999999999996</v>
      </c>
      <c r="J211" s="22">
        <f>(90+423+70)/1000</f>
        <v>0.58299999999999996</v>
      </c>
      <c r="K211" s="11">
        <v>2277.41</v>
      </c>
      <c r="L211" s="11">
        <v>2078.04</v>
      </c>
      <c r="M211" s="11">
        <v>1972.28</v>
      </c>
    </row>
    <row r="212" spans="1:13" ht="31.5">
      <c r="A212" s="6" t="s">
        <v>63</v>
      </c>
      <c r="B212" s="142" t="s">
        <v>201</v>
      </c>
      <c r="C212" s="6" t="s">
        <v>76</v>
      </c>
      <c r="D212" s="24" t="s">
        <v>68</v>
      </c>
      <c r="E212" s="24" t="s">
        <v>66</v>
      </c>
      <c r="F212" s="2" t="s">
        <v>65</v>
      </c>
      <c r="G212" s="22">
        <f>(193+212)/1000</f>
        <v>0.40500000000000003</v>
      </c>
      <c r="H212" s="6" t="s">
        <v>145</v>
      </c>
      <c r="I212" s="22">
        <f>(193+212+25)/1000</f>
        <v>0.43</v>
      </c>
      <c r="J212" s="22">
        <f>(193+212+25)/1000</f>
        <v>0.43</v>
      </c>
      <c r="K212" s="11">
        <v>12140</v>
      </c>
      <c r="L212" s="11">
        <v>11800</v>
      </c>
      <c r="M212" s="11">
        <v>11400</v>
      </c>
    </row>
    <row r="213" spans="1:13">
      <c r="A213" s="160" t="s">
        <v>10</v>
      </c>
      <c r="B213" s="160" t="s">
        <v>10</v>
      </c>
      <c r="C213" s="160" t="s">
        <v>10</v>
      </c>
      <c r="D213" s="24" t="s">
        <v>243</v>
      </c>
      <c r="E213" s="109" t="s">
        <v>10</v>
      </c>
      <c r="F213" s="54" t="s">
        <v>10</v>
      </c>
      <c r="G213" s="22" t="s">
        <v>10</v>
      </c>
      <c r="H213" s="6" t="s">
        <v>10</v>
      </c>
      <c r="I213" s="22" t="s">
        <v>10</v>
      </c>
      <c r="J213" s="22" t="s">
        <v>10</v>
      </c>
      <c r="K213" s="11">
        <v>0</v>
      </c>
      <c r="L213" s="11">
        <f>47708.24-L204-L205-L206-L207-L208-L209-L210-L211-L212</f>
        <v>3466.1399999999921</v>
      </c>
      <c r="M213" s="11">
        <f>48808.24-M204-M205-M206-M207-M208-M209-M210-M211-M212</f>
        <v>5072.369999999999</v>
      </c>
    </row>
    <row r="214" spans="1:13" ht="47.25">
      <c r="A214" s="97" t="s">
        <v>63</v>
      </c>
      <c r="B214" s="98" t="s">
        <v>203</v>
      </c>
      <c r="C214" s="97" t="s">
        <v>10</v>
      </c>
      <c r="D214" s="90" t="s">
        <v>202</v>
      </c>
      <c r="E214" s="130" t="s">
        <v>66</v>
      </c>
      <c r="F214" s="132" t="s">
        <v>65</v>
      </c>
      <c r="G214" s="99">
        <f>G215+G216+G217+G218+G219+G220+G221+G222+G223</f>
        <v>3.3929999999999998</v>
      </c>
      <c r="H214" s="97" t="s">
        <v>10</v>
      </c>
      <c r="I214" s="99">
        <f>I215+I216+I217+I218+I219+I220+I221+I222+I223</f>
        <v>3.4729999999999999</v>
      </c>
      <c r="J214" s="99">
        <f>J215+J216+J217+J218+J219+J220+J221+J222+J223</f>
        <v>3.4729999999999999</v>
      </c>
      <c r="K214" s="91">
        <f>SUM(K215:K224)</f>
        <v>313993.21999999997</v>
      </c>
      <c r="L214" s="91">
        <f t="shared" ref="L214:M214" si="25">SUM(L215:L224)</f>
        <v>318200.90999999997</v>
      </c>
      <c r="M214" s="91">
        <f t="shared" si="25"/>
        <v>322697.45</v>
      </c>
    </row>
    <row r="215" spans="1:13" ht="31.5">
      <c r="A215" s="6" t="s">
        <v>63</v>
      </c>
      <c r="B215" s="142" t="s">
        <v>203</v>
      </c>
      <c r="C215" s="3" t="s">
        <v>67</v>
      </c>
      <c r="D215" s="24" t="s">
        <v>68</v>
      </c>
      <c r="E215" s="24" t="s">
        <v>66</v>
      </c>
      <c r="F215" s="54" t="s">
        <v>65</v>
      </c>
      <c r="G215" s="159">
        <f>(75+72)/1000</f>
        <v>0.14699999999999999</v>
      </c>
      <c r="H215" s="6" t="s">
        <v>145</v>
      </c>
      <c r="I215" s="159">
        <f>(75+72+30)/1000</f>
        <v>0.17699999999999999</v>
      </c>
      <c r="J215" s="159">
        <f>(75+72+30)/1000</f>
        <v>0.17699999999999999</v>
      </c>
      <c r="K215" s="11">
        <v>60758.44</v>
      </c>
      <c r="L215" s="11">
        <v>53680.39</v>
      </c>
      <c r="M215" s="11">
        <v>53680.39</v>
      </c>
    </row>
    <row r="216" spans="1:13" ht="31.5">
      <c r="A216" s="6" t="s">
        <v>63</v>
      </c>
      <c r="B216" s="142" t="s">
        <v>203</v>
      </c>
      <c r="C216" s="3" t="s">
        <v>69</v>
      </c>
      <c r="D216" s="24" t="s">
        <v>68</v>
      </c>
      <c r="E216" s="24" t="s">
        <v>66</v>
      </c>
      <c r="F216" s="54" t="s">
        <v>65</v>
      </c>
      <c r="G216" s="159">
        <f>504/1000</f>
        <v>0.504</v>
      </c>
      <c r="H216" s="6" t="s">
        <v>145</v>
      </c>
      <c r="I216" s="159">
        <f>504/1000</f>
        <v>0.504</v>
      </c>
      <c r="J216" s="159">
        <f>504/1000</f>
        <v>0.504</v>
      </c>
      <c r="K216" s="11">
        <v>37587.08</v>
      </c>
      <c r="L216" s="11">
        <v>34213.629999999997</v>
      </c>
      <c r="M216" s="11">
        <v>34213.72</v>
      </c>
    </row>
    <row r="217" spans="1:13" ht="31.5">
      <c r="A217" s="6" t="s">
        <v>63</v>
      </c>
      <c r="B217" s="142" t="s">
        <v>10</v>
      </c>
      <c r="C217" s="3" t="s">
        <v>70</v>
      </c>
      <c r="D217" s="24" t="s">
        <v>68</v>
      </c>
      <c r="E217" s="24" t="s">
        <v>66</v>
      </c>
      <c r="F217" s="54" t="s">
        <v>65</v>
      </c>
      <c r="G217" s="159">
        <v>0.248</v>
      </c>
      <c r="H217" s="6" t="s">
        <v>186</v>
      </c>
      <c r="I217" s="159">
        <v>0.248</v>
      </c>
      <c r="J217" s="159">
        <v>0.248</v>
      </c>
      <c r="K217" s="11">
        <v>23997.17</v>
      </c>
      <c r="L217" s="11">
        <v>22106.41</v>
      </c>
      <c r="M217" s="11">
        <v>22106.41</v>
      </c>
    </row>
    <row r="218" spans="1:13" ht="47.25">
      <c r="A218" s="6" t="s">
        <v>63</v>
      </c>
      <c r="B218" s="142" t="s">
        <v>203</v>
      </c>
      <c r="C218" s="3" t="s">
        <v>71</v>
      </c>
      <c r="D218" s="24" t="s">
        <v>68</v>
      </c>
      <c r="E218" s="24" t="s">
        <v>66</v>
      </c>
      <c r="F218" s="54" t="s">
        <v>65</v>
      </c>
      <c r="G218" s="159">
        <f>383/1000</f>
        <v>0.38300000000000001</v>
      </c>
      <c r="H218" s="6" t="s">
        <v>145</v>
      </c>
      <c r="I218" s="159">
        <f>383/1000</f>
        <v>0.38300000000000001</v>
      </c>
      <c r="J218" s="159">
        <f>383/1000</f>
        <v>0.38300000000000001</v>
      </c>
      <c r="K218" s="11">
        <v>41533.01</v>
      </c>
      <c r="L218" s="11">
        <v>37007.910000000003</v>
      </c>
      <c r="M218" s="11">
        <v>37007.910000000003</v>
      </c>
    </row>
    <row r="219" spans="1:13" ht="47.25">
      <c r="A219" s="6" t="s">
        <v>63</v>
      </c>
      <c r="B219" s="142" t="s">
        <v>203</v>
      </c>
      <c r="C219" s="3" t="s">
        <v>72</v>
      </c>
      <c r="D219" s="24" t="s">
        <v>68</v>
      </c>
      <c r="E219" s="24" t="s">
        <v>66</v>
      </c>
      <c r="F219" s="54" t="s">
        <v>65</v>
      </c>
      <c r="G219" s="159">
        <f>(681)/1000</f>
        <v>0.68100000000000005</v>
      </c>
      <c r="H219" s="6" t="s">
        <v>145</v>
      </c>
      <c r="I219" s="159">
        <f>(681+25)/1000</f>
        <v>0.70599999999999996</v>
      </c>
      <c r="J219" s="159">
        <f>(681+25)/1000</f>
        <v>0.70599999999999996</v>
      </c>
      <c r="K219" s="11">
        <v>48383.34</v>
      </c>
      <c r="L219" s="11">
        <v>47333.38</v>
      </c>
      <c r="M219" s="11">
        <v>47333.7</v>
      </c>
    </row>
    <row r="220" spans="1:13" ht="31.5">
      <c r="A220" s="6" t="s">
        <v>63</v>
      </c>
      <c r="B220" s="142" t="s">
        <v>203</v>
      </c>
      <c r="C220" s="3" t="s">
        <v>73</v>
      </c>
      <c r="D220" s="24" t="s">
        <v>68</v>
      </c>
      <c r="E220" s="24" t="s">
        <v>66</v>
      </c>
      <c r="F220" s="54" t="s">
        <v>65</v>
      </c>
      <c r="G220" s="159">
        <f>82/1000</f>
        <v>8.2000000000000003E-2</v>
      </c>
      <c r="H220" s="6" t="s">
        <v>145</v>
      </c>
      <c r="I220" s="159">
        <f>82/1000</f>
        <v>8.2000000000000003E-2</v>
      </c>
      <c r="J220" s="159">
        <f>82/1000</f>
        <v>8.2000000000000003E-2</v>
      </c>
      <c r="K220" s="11">
        <v>10266.68</v>
      </c>
      <c r="L220" s="11">
        <v>9200.33</v>
      </c>
      <c r="M220" s="11">
        <v>9200.39</v>
      </c>
    </row>
    <row r="221" spans="1:13" ht="31.5">
      <c r="A221" s="6" t="s">
        <v>63</v>
      </c>
      <c r="B221" s="142" t="s">
        <v>203</v>
      </c>
      <c r="C221" s="3" t="s">
        <v>74</v>
      </c>
      <c r="D221" s="24" t="s">
        <v>68</v>
      </c>
      <c r="E221" s="24" t="s">
        <v>66</v>
      </c>
      <c r="F221" s="54" t="s">
        <v>65</v>
      </c>
      <c r="G221" s="159">
        <f>338/1000</f>
        <v>0.33800000000000002</v>
      </c>
      <c r="H221" s="6" t="s">
        <v>145</v>
      </c>
      <c r="I221" s="159">
        <f>338/1000</f>
        <v>0.33800000000000002</v>
      </c>
      <c r="J221" s="159">
        <f>338/1000</f>
        <v>0.33800000000000002</v>
      </c>
      <c r="K221" s="11">
        <v>29868.7</v>
      </c>
      <c r="L221" s="11">
        <v>27418.21</v>
      </c>
      <c r="M221" s="11">
        <v>27418.21</v>
      </c>
    </row>
    <row r="222" spans="1:13" ht="31.5">
      <c r="A222" s="6" t="s">
        <v>63</v>
      </c>
      <c r="B222" s="142" t="s">
        <v>203</v>
      </c>
      <c r="C222" s="3" t="s">
        <v>75</v>
      </c>
      <c r="D222" s="24" t="s">
        <v>68</v>
      </c>
      <c r="E222" s="24" t="s">
        <v>66</v>
      </c>
      <c r="F222" s="54" t="s">
        <v>65</v>
      </c>
      <c r="G222" s="159">
        <f>541/1000</f>
        <v>0.54100000000000004</v>
      </c>
      <c r="H222" s="6" t="s">
        <v>145</v>
      </c>
      <c r="I222" s="159">
        <f>541/1000</f>
        <v>0.54100000000000004</v>
      </c>
      <c r="J222" s="159">
        <f>541/1000</f>
        <v>0.54100000000000004</v>
      </c>
      <c r="K222" s="11">
        <v>22823.63</v>
      </c>
      <c r="L222" s="11">
        <v>21119.58</v>
      </c>
      <c r="M222" s="11">
        <v>21225.34</v>
      </c>
    </row>
    <row r="223" spans="1:13" ht="31.5">
      <c r="A223" s="6" t="s">
        <v>63</v>
      </c>
      <c r="B223" s="142" t="s">
        <v>203</v>
      </c>
      <c r="C223" s="3" t="s">
        <v>76</v>
      </c>
      <c r="D223" s="24" t="s">
        <v>68</v>
      </c>
      <c r="E223" s="24" t="s">
        <v>66</v>
      </c>
      <c r="F223" s="54" t="s">
        <v>65</v>
      </c>
      <c r="G223" s="159">
        <f>(469)/1000</f>
        <v>0.46899999999999997</v>
      </c>
      <c r="H223" s="6" t="s">
        <v>145</v>
      </c>
      <c r="I223" s="159">
        <f>(469+25)/1000</f>
        <v>0.49399999999999999</v>
      </c>
      <c r="J223" s="159">
        <f>(469+25)/1000</f>
        <v>0.49399999999999999</v>
      </c>
      <c r="K223" s="11">
        <v>38775.17</v>
      </c>
      <c r="L223" s="11">
        <v>35912.71</v>
      </c>
      <c r="M223" s="11">
        <v>36312.71</v>
      </c>
    </row>
    <row r="224" spans="1:13">
      <c r="A224" s="160" t="s">
        <v>10</v>
      </c>
      <c r="B224" s="160" t="s">
        <v>10</v>
      </c>
      <c r="C224" s="160" t="s">
        <v>10</v>
      </c>
      <c r="D224" s="24" t="s">
        <v>243</v>
      </c>
      <c r="E224" s="109" t="s">
        <v>10</v>
      </c>
      <c r="F224" s="54" t="s">
        <v>10</v>
      </c>
      <c r="G224" s="22" t="s">
        <v>10</v>
      </c>
      <c r="H224" s="6" t="s">
        <v>10</v>
      </c>
      <c r="I224" s="22" t="s">
        <v>10</v>
      </c>
      <c r="J224" s="22" t="s">
        <v>10</v>
      </c>
      <c r="K224" s="11">
        <v>0</v>
      </c>
      <c r="L224" s="11">
        <v>30208.36</v>
      </c>
      <c r="M224" s="11">
        <v>34198.67</v>
      </c>
    </row>
    <row r="225" spans="1:15" ht="31.5">
      <c r="A225" s="97" t="s">
        <v>63</v>
      </c>
      <c r="B225" s="98" t="s">
        <v>205</v>
      </c>
      <c r="C225" s="97" t="s">
        <v>10</v>
      </c>
      <c r="D225" s="90" t="s">
        <v>204</v>
      </c>
      <c r="E225" s="118" t="s">
        <v>33</v>
      </c>
      <c r="F225" s="95" t="s">
        <v>265</v>
      </c>
      <c r="G225" s="96">
        <v>44</v>
      </c>
      <c r="H225" s="97" t="s">
        <v>10</v>
      </c>
      <c r="I225" s="96">
        <v>6</v>
      </c>
      <c r="J225" s="96">
        <v>4</v>
      </c>
      <c r="K225" s="91">
        <f>SUM(K226:K278)</f>
        <v>42690.31</v>
      </c>
      <c r="L225" s="91">
        <f>SUM(L226:L278)</f>
        <v>40194.510000000009</v>
      </c>
      <c r="M225" s="91">
        <f>SUM(M226:M278)</f>
        <v>41110.35</v>
      </c>
    </row>
    <row r="226" spans="1:15" ht="78.75">
      <c r="A226" s="220" t="s">
        <v>63</v>
      </c>
      <c r="B226" s="220" t="s">
        <v>205</v>
      </c>
      <c r="C226" s="220" t="s">
        <v>67</v>
      </c>
      <c r="D226" s="15" t="s">
        <v>207</v>
      </c>
      <c r="E226" s="7" t="s">
        <v>33</v>
      </c>
      <c r="F226" s="54" t="s">
        <v>13</v>
      </c>
      <c r="G226" s="18">
        <v>5</v>
      </c>
      <c r="H226" s="6" t="s">
        <v>186</v>
      </c>
      <c r="I226" s="6" t="s">
        <v>95</v>
      </c>
      <c r="J226" s="6" t="s">
        <v>95</v>
      </c>
      <c r="K226" s="11">
        <v>13063.28</v>
      </c>
      <c r="L226" s="11">
        <v>0</v>
      </c>
      <c r="M226" s="11">
        <v>0</v>
      </c>
    </row>
    <row r="227" spans="1:15" ht="36.75" customHeight="1">
      <c r="A227" s="221"/>
      <c r="B227" s="221"/>
      <c r="C227" s="221"/>
      <c r="D227" s="15" t="s">
        <v>333</v>
      </c>
      <c r="E227" s="16" t="s">
        <v>16</v>
      </c>
      <c r="F227" s="54" t="s">
        <v>13</v>
      </c>
      <c r="G227" s="18">
        <v>2</v>
      </c>
      <c r="H227" s="6" t="s">
        <v>186</v>
      </c>
      <c r="I227" s="6" t="s">
        <v>95</v>
      </c>
      <c r="J227" s="6" t="s">
        <v>95</v>
      </c>
      <c r="K227" s="11">
        <v>524.79999999999995</v>
      </c>
      <c r="L227" s="11">
        <v>0</v>
      </c>
      <c r="M227" s="11">
        <v>0</v>
      </c>
      <c r="O227" s="13"/>
    </row>
    <row r="228" spans="1:15" ht="107.25" customHeight="1">
      <c r="A228" s="221"/>
      <c r="B228" s="221"/>
      <c r="C228" s="221"/>
      <c r="D228" s="15" t="s">
        <v>355</v>
      </c>
      <c r="E228" s="7" t="s">
        <v>33</v>
      </c>
      <c r="F228" s="54" t="s">
        <v>13</v>
      </c>
      <c r="G228" s="18">
        <v>5</v>
      </c>
      <c r="H228" s="193" t="s">
        <v>186</v>
      </c>
      <c r="I228" s="193" t="s">
        <v>95</v>
      </c>
      <c r="J228" s="193" t="s">
        <v>95</v>
      </c>
      <c r="K228" s="11">
        <v>2545.0500000000002</v>
      </c>
      <c r="L228" s="11">
        <v>0</v>
      </c>
      <c r="M228" s="11">
        <v>0</v>
      </c>
      <c r="O228" s="13"/>
    </row>
    <row r="229" spans="1:15" ht="66.75" customHeight="1">
      <c r="A229" s="221"/>
      <c r="B229" s="221"/>
      <c r="C229" s="221"/>
      <c r="D229" s="15" t="s">
        <v>356</v>
      </c>
      <c r="E229" s="7" t="s">
        <v>33</v>
      </c>
      <c r="F229" s="54" t="s">
        <v>13</v>
      </c>
      <c r="G229" s="18">
        <v>2</v>
      </c>
      <c r="H229" s="193" t="s">
        <v>186</v>
      </c>
      <c r="I229" s="193" t="s">
        <v>95</v>
      </c>
      <c r="J229" s="193" t="s">
        <v>95</v>
      </c>
      <c r="K229" s="11">
        <v>47.25</v>
      </c>
      <c r="L229" s="11">
        <v>0</v>
      </c>
      <c r="M229" s="11">
        <v>0</v>
      </c>
      <c r="O229" s="13"/>
    </row>
    <row r="230" spans="1:15" ht="54" customHeight="1">
      <c r="A230" s="221"/>
      <c r="B230" s="221"/>
      <c r="C230" s="221"/>
      <c r="D230" s="15" t="s">
        <v>357</v>
      </c>
      <c r="E230" s="7" t="s">
        <v>33</v>
      </c>
      <c r="F230" s="54" t="s">
        <v>13</v>
      </c>
      <c r="G230" s="18">
        <v>1</v>
      </c>
      <c r="H230" s="193" t="s">
        <v>186</v>
      </c>
      <c r="I230" s="193" t="s">
        <v>95</v>
      </c>
      <c r="J230" s="193" t="s">
        <v>95</v>
      </c>
      <c r="K230" s="11">
        <v>970</v>
      </c>
      <c r="L230" s="11">
        <v>0</v>
      </c>
      <c r="M230" s="11">
        <v>0</v>
      </c>
      <c r="O230" s="13"/>
    </row>
    <row r="231" spans="1:15" ht="31.5">
      <c r="A231" s="221"/>
      <c r="B231" s="221"/>
      <c r="C231" s="221"/>
      <c r="D231" s="15" t="s">
        <v>358</v>
      </c>
      <c r="E231" s="7" t="s">
        <v>33</v>
      </c>
      <c r="F231" s="54" t="s">
        <v>13</v>
      </c>
      <c r="G231" s="18">
        <v>1</v>
      </c>
      <c r="H231" s="193" t="s">
        <v>186</v>
      </c>
      <c r="I231" s="193" t="s">
        <v>95</v>
      </c>
      <c r="J231" s="193" t="s">
        <v>95</v>
      </c>
      <c r="K231" s="11">
        <v>376.55</v>
      </c>
      <c r="L231" s="11">
        <v>0</v>
      </c>
      <c r="M231" s="11">
        <v>0</v>
      </c>
      <c r="O231" s="13"/>
    </row>
    <row r="232" spans="1:15" ht="31.5">
      <c r="A232" s="221"/>
      <c r="B232" s="221"/>
      <c r="C232" s="221"/>
      <c r="D232" s="15" t="s">
        <v>359</v>
      </c>
      <c r="E232" s="7" t="s">
        <v>33</v>
      </c>
      <c r="F232" s="54" t="s">
        <v>13</v>
      </c>
      <c r="G232" s="18">
        <v>1</v>
      </c>
      <c r="H232" s="193" t="s">
        <v>186</v>
      </c>
      <c r="I232" s="193" t="s">
        <v>95</v>
      </c>
      <c r="J232" s="193" t="s">
        <v>95</v>
      </c>
      <c r="K232" s="11">
        <v>155.66</v>
      </c>
      <c r="L232" s="11">
        <v>0</v>
      </c>
      <c r="M232" s="11">
        <v>0</v>
      </c>
      <c r="O232" s="13"/>
    </row>
    <row r="233" spans="1:15" ht="56.25" customHeight="1">
      <c r="A233" s="221"/>
      <c r="B233" s="221"/>
      <c r="C233" s="221"/>
      <c r="D233" s="15" t="s">
        <v>360</v>
      </c>
      <c r="E233" s="7" t="s">
        <v>33</v>
      </c>
      <c r="F233" s="54" t="s">
        <v>13</v>
      </c>
      <c r="G233" s="18">
        <v>1</v>
      </c>
      <c r="H233" s="214" t="s">
        <v>186</v>
      </c>
      <c r="I233" s="214" t="s">
        <v>95</v>
      </c>
      <c r="J233" s="214" t="s">
        <v>95</v>
      </c>
      <c r="K233" s="11">
        <v>150</v>
      </c>
      <c r="L233" s="11">
        <v>0</v>
      </c>
      <c r="M233" s="11">
        <v>0</v>
      </c>
      <c r="O233" s="13"/>
    </row>
    <row r="234" spans="1:15" ht="56.25" customHeight="1">
      <c r="A234" s="222"/>
      <c r="B234" s="222"/>
      <c r="C234" s="222"/>
      <c r="D234" s="15" t="s">
        <v>416</v>
      </c>
      <c r="E234" s="7" t="s">
        <v>33</v>
      </c>
      <c r="F234" s="54" t="s">
        <v>13</v>
      </c>
      <c r="G234" s="18">
        <v>2</v>
      </c>
      <c r="H234" s="193" t="s">
        <v>186</v>
      </c>
      <c r="I234" s="193" t="s">
        <v>95</v>
      </c>
      <c r="J234" s="193" t="s">
        <v>95</v>
      </c>
      <c r="K234" s="11">
        <v>2299.63</v>
      </c>
      <c r="L234" s="11">
        <v>0</v>
      </c>
      <c r="M234" s="11">
        <v>0</v>
      </c>
      <c r="O234" s="13"/>
    </row>
    <row r="235" spans="1:15" ht="85.5" customHeight="1">
      <c r="A235" s="223" t="s">
        <v>63</v>
      </c>
      <c r="B235" s="223" t="s">
        <v>205</v>
      </c>
      <c r="C235" s="223" t="s">
        <v>69</v>
      </c>
      <c r="D235" s="15" t="s">
        <v>289</v>
      </c>
      <c r="E235" s="16" t="s">
        <v>15</v>
      </c>
      <c r="F235" s="54" t="s">
        <v>13</v>
      </c>
      <c r="G235" s="18">
        <v>1</v>
      </c>
      <c r="H235" s="6" t="s">
        <v>186</v>
      </c>
      <c r="I235" s="6" t="s">
        <v>95</v>
      </c>
      <c r="J235" s="6" t="s">
        <v>95</v>
      </c>
      <c r="K235" s="11">
        <v>3566.17</v>
      </c>
      <c r="L235" s="11">
        <v>0</v>
      </c>
      <c r="M235" s="11">
        <v>0</v>
      </c>
      <c r="O235" s="13"/>
    </row>
    <row r="236" spans="1:15" ht="47.25">
      <c r="A236" s="223"/>
      <c r="B236" s="223"/>
      <c r="C236" s="223"/>
      <c r="D236" s="12" t="s">
        <v>361</v>
      </c>
      <c r="E236" s="12" t="s">
        <v>33</v>
      </c>
      <c r="F236" s="10" t="s">
        <v>13</v>
      </c>
      <c r="G236" s="21">
        <v>2</v>
      </c>
      <c r="H236" s="6" t="s">
        <v>186</v>
      </c>
      <c r="I236" s="8" t="s">
        <v>95</v>
      </c>
      <c r="J236" s="8" t="s">
        <v>95</v>
      </c>
      <c r="K236" s="11">
        <v>139.54</v>
      </c>
      <c r="L236" s="11">
        <v>0</v>
      </c>
      <c r="M236" s="11">
        <v>0</v>
      </c>
      <c r="O236" s="13"/>
    </row>
    <row r="237" spans="1:15" ht="31.5">
      <c r="A237" s="223"/>
      <c r="B237" s="223"/>
      <c r="C237" s="223"/>
      <c r="D237" s="5" t="s">
        <v>420</v>
      </c>
      <c r="E237" s="7" t="s">
        <v>208</v>
      </c>
      <c r="F237" s="10" t="s">
        <v>13</v>
      </c>
      <c r="G237" s="21">
        <v>1</v>
      </c>
      <c r="H237" s="198" t="s">
        <v>186</v>
      </c>
      <c r="I237" s="202">
        <v>0</v>
      </c>
      <c r="J237" s="202">
        <v>0</v>
      </c>
      <c r="K237" s="11">
        <v>167</v>
      </c>
      <c r="L237" s="11">
        <v>0</v>
      </c>
      <c r="M237" s="11">
        <v>0</v>
      </c>
      <c r="O237" s="13"/>
    </row>
    <row r="238" spans="1:15" ht="110.25">
      <c r="A238" s="223"/>
      <c r="B238" s="223"/>
      <c r="C238" s="223"/>
      <c r="D238" s="12" t="s">
        <v>419</v>
      </c>
      <c r="E238" s="12" t="s">
        <v>33</v>
      </c>
      <c r="F238" s="10" t="s">
        <v>13</v>
      </c>
      <c r="G238" s="21">
        <v>4</v>
      </c>
      <c r="H238" s="198" t="s">
        <v>186</v>
      </c>
      <c r="I238" s="202">
        <v>0</v>
      </c>
      <c r="J238" s="202">
        <v>0</v>
      </c>
      <c r="K238" s="11">
        <v>3151.53</v>
      </c>
      <c r="L238" s="11">
        <v>0</v>
      </c>
      <c r="M238" s="11">
        <v>0</v>
      </c>
      <c r="O238" s="13"/>
    </row>
    <row r="239" spans="1:15" ht="39" customHeight="1">
      <c r="A239" s="225" t="s">
        <v>63</v>
      </c>
      <c r="B239" s="220" t="s">
        <v>205</v>
      </c>
      <c r="C239" s="225" t="s">
        <v>122</v>
      </c>
      <c r="D239" s="12" t="s">
        <v>103</v>
      </c>
      <c r="E239" s="16" t="s">
        <v>209</v>
      </c>
      <c r="F239" s="10" t="s">
        <v>13</v>
      </c>
      <c r="G239" s="23">
        <v>9</v>
      </c>
      <c r="H239" s="6" t="s">
        <v>186</v>
      </c>
      <c r="I239" s="8" t="s">
        <v>95</v>
      </c>
      <c r="J239" s="8" t="s">
        <v>95</v>
      </c>
      <c r="K239" s="11">
        <v>293.45</v>
      </c>
      <c r="L239" s="11">
        <v>0</v>
      </c>
      <c r="M239" s="11">
        <v>0</v>
      </c>
    </row>
    <row r="240" spans="1:15" ht="31.5">
      <c r="A240" s="229"/>
      <c r="B240" s="222"/>
      <c r="C240" s="229"/>
      <c r="D240" s="12" t="s">
        <v>138</v>
      </c>
      <c r="E240" s="16" t="s">
        <v>210</v>
      </c>
      <c r="F240" s="10" t="s">
        <v>13</v>
      </c>
      <c r="G240" s="23">
        <v>1</v>
      </c>
      <c r="H240" s="6" t="s">
        <v>186</v>
      </c>
      <c r="I240" s="8" t="s">
        <v>95</v>
      </c>
      <c r="J240" s="8" t="s">
        <v>95</v>
      </c>
      <c r="K240" s="11">
        <v>120.35</v>
      </c>
      <c r="L240" s="11">
        <v>0</v>
      </c>
      <c r="M240" s="11">
        <v>0</v>
      </c>
    </row>
    <row r="241" spans="1:13" ht="31.5">
      <c r="A241" s="242" t="s">
        <v>63</v>
      </c>
      <c r="B241" s="223" t="s">
        <v>205</v>
      </c>
      <c r="C241" s="242" t="s">
        <v>73</v>
      </c>
      <c r="D241" s="16" t="s">
        <v>103</v>
      </c>
      <c r="E241" s="16" t="s">
        <v>209</v>
      </c>
      <c r="F241" s="19" t="s">
        <v>13</v>
      </c>
      <c r="G241" s="23">
        <v>37</v>
      </c>
      <c r="H241" s="6" t="s">
        <v>186</v>
      </c>
      <c r="I241" s="8" t="s">
        <v>95</v>
      </c>
      <c r="J241" s="8" t="s">
        <v>95</v>
      </c>
      <c r="K241" s="11">
        <v>194.8</v>
      </c>
      <c r="L241" s="11">
        <v>0</v>
      </c>
      <c r="M241" s="11">
        <v>0</v>
      </c>
    </row>
    <row r="242" spans="1:13" ht="31.5">
      <c r="A242" s="242"/>
      <c r="B242" s="223"/>
      <c r="C242" s="242"/>
      <c r="D242" s="16" t="s">
        <v>211</v>
      </c>
      <c r="E242" s="16" t="s">
        <v>137</v>
      </c>
      <c r="F242" s="19" t="s">
        <v>13</v>
      </c>
      <c r="G242" s="23">
        <v>0</v>
      </c>
      <c r="H242" s="6" t="s">
        <v>10</v>
      </c>
      <c r="I242" s="8" t="s">
        <v>62</v>
      </c>
      <c r="J242" s="8" t="s">
        <v>95</v>
      </c>
      <c r="K242" s="11">
        <v>0</v>
      </c>
      <c r="L242" s="11">
        <v>119.4</v>
      </c>
      <c r="M242" s="11">
        <v>0</v>
      </c>
    </row>
    <row r="243" spans="1:13" ht="31.5">
      <c r="A243" s="242"/>
      <c r="B243" s="223"/>
      <c r="C243" s="242"/>
      <c r="D243" s="16" t="s">
        <v>334</v>
      </c>
      <c r="E243" s="16" t="s">
        <v>33</v>
      </c>
      <c r="F243" s="19" t="s">
        <v>13</v>
      </c>
      <c r="G243" s="23">
        <v>1</v>
      </c>
      <c r="H243" s="6" t="s">
        <v>186</v>
      </c>
      <c r="I243" s="8" t="s">
        <v>95</v>
      </c>
      <c r="J243" s="8" t="s">
        <v>95</v>
      </c>
      <c r="K243" s="11">
        <v>330.35</v>
      </c>
      <c r="L243" s="11">
        <v>0</v>
      </c>
      <c r="M243" s="11">
        <v>0</v>
      </c>
    </row>
    <row r="244" spans="1:13" ht="31.5">
      <c r="A244" s="242"/>
      <c r="B244" s="223"/>
      <c r="C244" s="242"/>
      <c r="D244" s="16" t="s">
        <v>362</v>
      </c>
      <c r="E244" s="16" t="s">
        <v>33</v>
      </c>
      <c r="F244" s="19" t="s">
        <v>13</v>
      </c>
      <c r="G244" s="23">
        <v>1</v>
      </c>
      <c r="H244" s="6" t="s">
        <v>186</v>
      </c>
      <c r="I244" s="8" t="s">
        <v>95</v>
      </c>
      <c r="J244" s="8" t="s">
        <v>95</v>
      </c>
      <c r="K244" s="11">
        <v>55</v>
      </c>
      <c r="L244" s="11">
        <v>0</v>
      </c>
      <c r="M244" s="11">
        <v>0</v>
      </c>
    </row>
    <row r="245" spans="1:13" ht="31.5">
      <c r="A245" s="242"/>
      <c r="B245" s="223"/>
      <c r="C245" s="242"/>
      <c r="D245" s="16" t="s">
        <v>280</v>
      </c>
      <c r="G245" s="23">
        <v>2</v>
      </c>
      <c r="H245" s="6" t="s">
        <v>186</v>
      </c>
      <c r="I245" s="8">
        <v>0</v>
      </c>
      <c r="J245" s="8" t="s">
        <v>95</v>
      </c>
      <c r="K245" s="11">
        <v>35</v>
      </c>
      <c r="L245" s="11">
        <v>0</v>
      </c>
      <c r="M245" s="11">
        <v>0</v>
      </c>
    </row>
    <row r="246" spans="1:13" ht="31.5">
      <c r="A246" s="242"/>
      <c r="B246" s="223"/>
      <c r="C246" s="242"/>
      <c r="D246" s="5" t="s">
        <v>363</v>
      </c>
      <c r="E246" s="5" t="s">
        <v>364</v>
      </c>
      <c r="F246" s="19" t="s">
        <v>13</v>
      </c>
      <c r="G246" s="23">
        <v>14</v>
      </c>
      <c r="H246" s="198" t="s">
        <v>186</v>
      </c>
      <c r="I246" s="202">
        <v>0</v>
      </c>
      <c r="J246" s="202" t="s">
        <v>95</v>
      </c>
      <c r="K246" s="11">
        <v>21.96</v>
      </c>
      <c r="L246" s="11">
        <v>0</v>
      </c>
      <c r="M246" s="11">
        <v>0</v>
      </c>
    </row>
    <row r="247" spans="1:13" ht="31.5">
      <c r="A247" s="225" t="s">
        <v>63</v>
      </c>
      <c r="B247" s="220" t="s">
        <v>205</v>
      </c>
      <c r="C247" s="225" t="s">
        <v>74</v>
      </c>
      <c r="D247" s="12" t="s">
        <v>300</v>
      </c>
      <c r="E247" s="16" t="s">
        <v>15</v>
      </c>
      <c r="F247" s="10" t="s">
        <v>13</v>
      </c>
      <c r="G247" s="23">
        <v>1</v>
      </c>
      <c r="H247" s="6" t="s">
        <v>186</v>
      </c>
      <c r="I247" s="8" t="s">
        <v>95</v>
      </c>
      <c r="J247" s="8" t="s">
        <v>95</v>
      </c>
      <c r="K247" s="11">
        <v>990.3</v>
      </c>
      <c r="L247" s="11">
        <v>0</v>
      </c>
      <c r="M247" s="11">
        <v>0</v>
      </c>
    </row>
    <row r="248" spans="1:13" ht="31.5">
      <c r="A248" s="226"/>
      <c r="B248" s="221"/>
      <c r="C248" s="226"/>
      <c r="D248" s="12" t="s">
        <v>365</v>
      </c>
      <c r="E248" s="16" t="s">
        <v>33</v>
      </c>
      <c r="F248" s="19" t="s">
        <v>13</v>
      </c>
      <c r="G248" s="23">
        <v>2</v>
      </c>
      <c r="H248" s="198" t="s">
        <v>186</v>
      </c>
      <c r="I248" s="202" t="s">
        <v>95</v>
      </c>
      <c r="J248" s="202" t="s">
        <v>95</v>
      </c>
      <c r="K248" s="11">
        <v>582.44000000000005</v>
      </c>
      <c r="L248" s="11">
        <v>0</v>
      </c>
      <c r="M248" s="11">
        <v>0</v>
      </c>
    </row>
    <row r="249" spans="1:13" ht="52.5" customHeight="1">
      <c r="A249" s="229"/>
      <c r="B249" s="222"/>
      <c r="C249" s="229"/>
      <c r="D249" s="12" t="s">
        <v>395</v>
      </c>
      <c r="E249" s="16" t="s">
        <v>33</v>
      </c>
      <c r="F249" s="19" t="s">
        <v>13</v>
      </c>
      <c r="G249" s="23">
        <v>3</v>
      </c>
      <c r="H249" s="193" t="s">
        <v>186</v>
      </c>
      <c r="I249" s="194" t="s">
        <v>95</v>
      </c>
      <c r="J249" s="194" t="s">
        <v>95</v>
      </c>
      <c r="K249" s="11">
        <v>267.27</v>
      </c>
      <c r="L249" s="11">
        <v>0</v>
      </c>
      <c r="M249" s="11">
        <v>0</v>
      </c>
    </row>
    <row r="250" spans="1:13" ht="47.25" customHeight="1">
      <c r="A250" s="225" t="s">
        <v>63</v>
      </c>
      <c r="B250" s="220" t="s">
        <v>205</v>
      </c>
      <c r="C250" s="225" t="s">
        <v>71</v>
      </c>
      <c r="D250" s="12" t="s">
        <v>281</v>
      </c>
      <c r="E250" s="16" t="s">
        <v>133</v>
      </c>
      <c r="F250" s="10" t="s">
        <v>13</v>
      </c>
      <c r="G250" s="23">
        <v>117</v>
      </c>
      <c r="H250" s="6" t="s">
        <v>186</v>
      </c>
      <c r="I250" s="8" t="s">
        <v>95</v>
      </c>
      <c r="J250" s="8" t="s">
        <v>95</v>
      </c>
      <c r="K250" s="11">
        <v>295.07</v>
      </c>
      <c r="L250" s="11">
        <v>0</v>
      </c>
      <c r="M250" s="11">
        <v>0</v>
      </c>
    </row>
    <row r="251" spans="1:13" ht="15.75" customHeight="1">
      <c r="A251" s="226"/>
      <c r="B251" s="221"/>
      <c r="C251" s="226"/>
      <c r="D251" s="16" t="s">
        <v>212</v>
      </c>
      <c r="E251" s="16" t="s">
        <v>15</v>
      </c>
      <c r="F251" s="10" t="s">
        <v>13</v>
      </c>
      <c r="G251" s="21">
        <v>0</v>
      </c>
      <c r="H251" s="6" t="s">
        <v>10</v>
      </c>
      <c r="I251" s="8" t="s">
        <v>62</v>
      </c>
      <c r="J251" s="8" t="s">
        <v>95</v>
      </c>
      <c r="K251" s="11">
        <v>0</v>
      </c>
      <c r="L251" s="11">
        <f>6880</f>
        <v>6880</v>
      </c>
      <c r="M251" s="11">
        <v>0</v>
      </c>
    </row>
    <row r="252" spans="1:13" ht="31.5">
      <c r="A252" s="226"/>
      <c r="B252" s="221"/>
      <c r="C252" s="226"/>
      <c r="D252" s="16" t="s">
        <v>301</v>
      </c>
      <c r="E252" s="16" t="s">
        <v>15</v>
      </c>
      <c r="F252" s="10" t="s">
        <v>13</v>
      </c>
      <c r="G252" s="21">
        <v>1</v>
      </c>
      <c r="H252" s="6" t="s">
        <v>186</v>
      </c>
      <c r="I252" s="8" t="s">
        <v>95</v>
      </c>
      <c r="J252" s="8" t="s">
        <v>95</v>
      </c>
      <c r="K252" s="11">
        <v>208</v>
      </c>
      <c r="L252" s="11">
        <v>0</v>
      </c>
      <c r="M252" s="11">
        <v>0</v>
      </c>
    </row>
    <row r="253" spans="1:13" ht="31.5">
      <c r="A253" s="226"/>
      <c r="B253" s="221"/>
      <c r="C253" s="226"/>
      <c r="D253" s="16" t="s">
        <v>264</v>
      </c>
      <c r="E253" s="12" t="s">
        <v>33</v>
      </c>
      <c r="F253" s="10" t="s">
        <v>13</v>
      </c>
      <c r="G253" s="21">
        <v>1</v>
      </c>
      <c r="H253" s="6" t="s">
        <v>186</v>
      </c>
      <c r="I253" s="8" t="s">
        <v>95</v>
      </c>
      <c r="J253" s="8" t="s">
        <v>95</v>
      </c>
      <c r="K253" s="11">
        <v>70</v>
      </c>
      <c r="L253" s="11">
        <v>0</v>
      </c>
      <c r="M253" s="11">
        <v>0</v>
      </c>
    </row>
    <row r="254" spans="1:13" ht="31.5">
      <c r="A254" s="226"/>
      <c r="B254" s="221"/>
      <c r="C254" s="226"/>
      <c r="D254" s="16" t="s">
        <v>368</v>
      </c>
      <c r="E254" s="16" t="s">
        <v>340</v>
      </c>
      <c r="F254" s="19" t="s">
        <v>13</v>
      </c>
      <c r="G254" s="23">
        <v>4</v>
      </c>
      <c r="H254" s="196" t="s">
        <v>186</v>
      </c>
      <c r="I254" s="8" t="s">
        <v>95</v>
      </c>
      <c r="J254" s="8" t="s">
        <v>95</v>
      </c>
      <c r="K254" s="11">
        <v>306.93</v>
      </c>
      <c r="L254" s="11">
        <v>0</v>
      </c>
      <c r="M254" s="11">
        <v>0</v>
      </c>
    </row>
    <row r="255" spans="1:13">
      <c r="A255" s="226"/>
      <c r="B255" s="221"/>
      <c r="C255" s="226"/>
      <c r="D255" s="16" t="s">
        <v>396</v>
      </c>
      <c r="E255" s="16" t="s">
        <v>16</v>
      </c>
      <c r="F255" s="10" t="s">
        <v>13</v>
      </c>
      <c r="G255" s="21">
        <v>1</v>
      </c>
      <c r="H255" s="198" t="s">
        <v>10</v>
      </c>
      <c r="I255" s="202" t="s">
        <v>95</v>
      </c>
      <c r="J255" s="202" t="s">
        <v>95</v>
      </c>
      <c r="K255" s="11">
        <v>100</v>
      </c>
      <c r="L255" s="11">
        <v>0</v>
      </c>
      <c r="M255" s="11">
        <v>0</v>
      </c>
    </row>
    <row r="256" spans="1:13">
      <c r="A256" s="229"/>
      <c r="B256" s="222"/>
      <c r="C256" s="229"/>
      <c r="D256" s="16" t="s">
        <v>213</v>
      </c>
      <c r="E256" s="16" t="s">
        <v>15</v>
      </c>
      <c r="F256" s="10" t="s">
        <v>13</v>
      </c>
      <c r="G256" s="21">
        <v>0</v>
      </c>
      <c r="H256" s="6" t="s">
        <v>10</v>
      </c>
      <c r="I256" s="8" t="s">
        <v>95</v>
      </c>
      <c r="J256" s="8" t="s">
        <v>62</v>
      </c>
      <c r="K256" s="11">
        <v>0</v>
      </c>
      <c r="L256" s="11">
        <v>0</v>
      </c>
      <c r="M256" s="11">
        <v>2200</v>
      </c>
    </row>
    <row r="257" spans="1:13" ht="153.75" customHeight="1">
      <c r="A257" s="242" t="s">
        <v>63</v>
      </c>
      <c r="B257" s="223" t="s">
        <v>205</v>
      </c>
      <c r="C257" s="225" t="s">
        <v>75</v>
      </c>
      <c r="D257" s="16" t="s">
        <v>397</v>
      </c>
      <c r="E257" s="16" t="s">
        <v>33</v>
      </c>
      <c r="F257" s="19" t="s">
        <v>13</v>
      </c>
      <c r="G257" s="23">
        <v>1</v>
      </c>
      <c r="H257" s="6" t="s">
        <v>186</v>
      </c>
      <c r="I257" s="8" t="s">
        <v>95</v>
      </c>
      <c r="J257" s="8" t="s">
        <v>95</v>
      </c>
      <c r="K257" s="11">
        <v>4412.57</v>
      </c>
      <c r="L257" s="11">
        <v>0</v>
      </c>
      <c r="M257" s="11">
        <v>0</v>
      </c>
    </row>
    <row r="258" spans="1:13" ht="31.5">
      <c r="A258" s="242"/>
      <c r="B258" s="223"/>
      <c r="C258" s="226"/>
      <c r="D258" s="16" t="s">
        <v>366</v>
      </c>
      <c r="E258" s="16" t="s">
        <v>341</v>
      </c>
      <c r="F258" s="19" t="s">
        <v>13</v>
      </c>
      <c r="G258" s="23">
        <v>16</v>
      </c>
      <c r="H258" s="6" t="s">
        <v>186</v>
      </c>
      <c r="I258" s="8" t="s">
        <v>95</v>
      </c>
      <c r="J258" s="8" t="s">
        <v>95</v>
      </c>
      <c r="K258" s="11">
        <v>402.5</v>
      </c>
      <c r="L258" s="11">
        <v>0</v>
      </c>
      <c r="M258" s="11">
        <v>0</v>
      </c>
    </row>
    <row r="259" spans="1:13" ht="31.5">
      <c r="A259" s="242"/>
      <c r="B259" s="223"/>
      <c r="C259" s="226"/>
      <c r="D259" s="16" t="s">
        <v>398</v>
      </c>
      <c r="E259" s="16" t="s">
        <v>399</v>
      </c>
      <c r="F259" s="19" t="s">
        <v>13</v>
      </c>
      <c r="G259" s="23">
        <v>6</v>
      </c>
      <c r="H259" s="198" t="s">
        <v>186</v>
      </c>
      <c r="I259" s="202" t="s">
        <v>95</v>
      </c>
      <c r="J259" s="202" t="s">
        <v>95</v>
      </c>
      <c r="K259" s="11">
        <v>182.8</v>
      </c>
      <c r="L259" s="11">
        <v>0</v>
      </c>
      <c r="M259" s="11">
        <v>0</v>
      </c>
    </row>
    <row r="260" spans="1:13" ht="31.5">
      <c r="A260" s="242"/>
      <c r="B260" s="223"/>
      <c r="C260" s="226"/>
      <c r="D260" s="1" t="s">
        <v>400</v>
      </c>
      <c r="E260" s="1" t="s">
        <v>364</v>
      </c>
      <c r="F260" s="19" t="s">
        <v>13</v>
      </c>
      <c r="G260" s="23">
        <v>116</v>
      </c>
      <c r="H260" s="198" t="s">
        <v>186</v>
      </c>
      <c r="I260" s="202" t="s">
        <v>95</v>
      </c>
      <c r="J260" s="202" t="s">
        <v>95</v>
      </c>
      <c r="K260" s="11">
        <v>84.72</v>
      </c>
      <c r="L260" s="11">
        <v>0</v>
      </c>
      <c r="M260" s="11">
        <v>0</v>
      </c>
    </row>
    <row r="261" spans="1:13" ht="31.5">
      <c r="A261" s="242"/>
      <c r="B261" s="223"/>
      <c r="C261" s="226"/>
      <c r="D261" s="5" t="s">
        <v>401</v>
      </c>
      <c r="E261" s="16" t="s">
        <v>16</v>
      </c>
      <c r="F261" s="19" t="s">
        <v>13</v>
      </c>
      <c r="G261" s="23">
        <v>2</v>
      </c>
      <c r="H261" s="198" t="s">
        <v>186</v>
      </c>
      <c r="I261" s="202" t="s">
        <v>95</v>
      </c>
      <c r="J261" s="202" t="s">
        <v>95</v>
      </c>
      <c r="K261" s="11">
        <v>51.26</v>
      </c>
      <c r="L261" s="11">
        <v>0</v>
      </c>
      <c r="M261" s="11">
        <v>0</v>
      </c>
    </row>
    <row r="262" spans="1:13" ht="31.5">
      <c r="A262" s="242"/>
      <c r="B262" s="223"/>
      <c r="C262" s="229"/>
      <c r="D262" s="1" t="s">
        <v>402</v>
      </c>
      <c r="E262" s="16" t="s">
        <v>16</v>
      </c>
      <c r="F262" s="19" t="s">
        <v>13</v>
      </c>
      <c r="G262" s="23">
        <v>20</v>
      </c>
      <c r="H262" s="198" t="s">
        <v>186</v>
      </c>
      <c r="I262" s="202" t="s">
        <v>95</v>
      </c>
      <c r="J262" s="202" t="s">
        <v>95</v>
      </c>
      <c r="K262" s="11">
        <v>719.2</v>
      </c>
      <c r="L262" s="11">
        <v>0</v>
      </c>
      <c r="M262" s="11">
        <v>0</v>
      </c>
    </row>
    <row r="263" spans="1:13" ht="146.25" customHeight="1">
      <c r="A263" s="243" t="s">
        <v>63</v>
      </c>
      <c r="B263" s="223" t="s">
        <v>205</v>
      </c>
      <c r="C263" s="242" t="s">
        <v>76</v>
      </c>
      <c r="D263" s="16" t="s">
        <v>403</v>
      </c>
      <c r="E263" s="16" t="s">
        <v>208</v>
      </c>
      <c r="F263" s="19" t="s">
        <v>13</v>
      </c>
      <c r="G263" s="23">
        <v>1</v>
      </c>
      <c r="H263" s="6" t="s">
        <v>186</v>
      </c>
      <c r="I263" s="8" t="s">
        <v>95</v>
      </c>
      <c r="J263" s="8" t="s">
        <v>95</v>
      </c>
      <c r="K263" s="11">
        <v>150</v>
      </c>
      <c r="L263" s="11">
        <v>0</v>
      </c>
      <c r="M263" s="11">
        <v>0</v>
      </c>
    </row>
    <row r="264" spans="1:13" ht="126">
      <c r="A264" s="244"/>
      <c r="B264" s="223"/>
      <c r="C264" s="242"/>
      <c r="D264" s="16" t="s">
        <v>404</v>
      </c>
      <c r="E264" s="16" t="s">
        <v>208</v>
      </c>
      <c r="F264" s="19" t="s">
        <v>13</v>
      </c>
      <c r="G264" s="23">
        <v>1</v>
      </c>
      <c r="H264" s="6" t="s">
        <v>186</v>
      </c>
      <c r="I264" s="8" t="s">
        <v>95</v>
      </c>
      <c r="J264" s="8" t="s">
        <v>95</v>
      </c>
      <c r="K264" s="11">
        <v>660</v>
      </c>
      <c r="L264" s="11">
        <v>0</v>
      </c>
      <c r="M264" s="11">
        <v>0</v>
      </c>
    </row>
    <row r="265" spans="1:13" ht="110.25">
      <c r="A265" s="244"/>
      <c r="B265" s="223"/>
      <c r="C265" s="242"/>
      <c r="D265" s="16" t="s">
        <v>302</v>
      </c>
      <c r="E265" s="16" t="s">
        <v>208</v>
      </c>
      <c r="F265" s="19" t="s">
        <v>13</v>
      </c>
      <c r="G265" s="23">
        <v>1</v>
      </c>
      <c r="H265" s="198" t="s">
        <v>186</v>
      </c>
      <c r="I265" s="202" t="s">
        <v>95</v>
      </c>
      <c r="J265" s="202" t="s">
        <v>95</v>
      </c>
      <c r="K265" s="11">
        <v>600</v>
      </c>
      <c r="L265" s="11">
        <v>0</v>
      </c>
      <c r="M265" s="11">
        <v>0</v>
      </c>
    </row>
    <row r="266" spans="1:13" ht="48" customHeight="1">
      <c r="A266" s="244"/>
      <c r="B266" s="223"/>
      <c r="C266" s="242"/>
      <c r="D266" s="16" t="s">
        <v>342</v>
      </c>
      <c r="E266" s="134" t="s">
        <v>33</v>
      </c>
      <c r="F266" s="19" t="s">
        <v>13</v>
      </c>
      <c r="G266" s="23">
        <v>1</v>
      </c>
      <c r="H266" s="6" t="s">
        <v>186</v>
      </c>
      <c r="I266" s="8" t="s">
        <v>95</v>
      </c>
      <c r="J266" s="8" t="s">
        <v>95</v>
      </c>
      <c r="K266" s="11">
        <v>43</v>
      </c>
      <c r="L266" s="11">
        <v>0</v>
      </c>
      <c r="M266" s="11">
        <v>0</v>
      </c>
    </row>
    <row r="267" spans="1:13" ht="78.75">
      <c r="A267" s="244"/>
      <c r="B267" s="223"/>
      <c r="C267" s="242"/>
      <c r="D267" s="16" t="s">
        <v>343</v>
      </c>
      <c r="E267" s="134" t="s">
        <v>33</v>
      </c>
      <c r="F267" s="19" t="s">
        <v>13</v>
      </c>
      <c r="G267" s="23">
        <v>1</v>
      </c>
      <c r="H267" s="6" t="s">
        <v>186</v>
      </c>
      <c r="I267" s="8" t="s">
        <v>95</v>
      </c>
      <c r="J267" s="8" t="s">
        <v>95</v>
      </c>
      <c r="K267" s="11">
        <v>232.77</v>
      </c>
      <c r="L267" s="11">
        <v>0</v>
      </c>
      <c r="M267" s="11">
        <v>0</v>
      </c>
    </row>
    <row r="268" spans="1:13" ht="47.25">
      <c r="A268" s="244"/>
      <c r="B268" s="223"/>
      <c r="C268" s="242"/>
      <c r="D268" s="16" t="s">
        <v>367</v>
      </c>
      <c r="E268" s="134" t="s">
        <v>33</v>
      </c>
      <c r="F268" s="19" t="s">
        <v>13</v>
      </c>
      <c r="G268" s="23">
        <v>1</v>
      </c>
      <c r="H268" s="193" t="s">
        <v>186</v>
      </c>
      <c r="I268" s="194" t="s">
        <v>95</v>
      </c>
      <c r="J268" s="194" t="s">
        <v>95</v>
      </c>
      <c r="K268" s="11">
        <v>71.540000000000006</v>
      </c>
      <c r="L268" s="11">
        <v>0</v>
      </c>
      <c r="M268" s="11">
        <v>0</v>
      </c>
    </row>
    <row r="269" spans="1:13" ht="47.25">
      <c r="A269" s="244"/>
      <c r="B269" s="223"/>
      <c r="C269" s="242"/>
      <c r="D269" s="15" t="s">
        <v>214</v>
      </c>
      <c r="E269" s="12" t="s">
        <v>15</v>
      </c>
      <c r="F269" s="10" t="s">
        <v>13</v>
      </c>
      <c r="G269" s="21">
        <v>0</v>
      </c>
      <c r="H269" s="6" t="s">
        <v>10</v>
      </c>
      <c r="I269" s="8" t="s">
        <v>62</v>
      </c>
      <c r="J269" s="8" t="s">
        <v>95</v>
      </c>
      <c r="K269" s="11">
        <v>0</v>
      </c>
      <c r="L269" s="11">
        <v>4000</v>
      </c>
      <c r="M269" s="11">
        <v>0</v>
      </c>
    </row>
    <row r="270" spans="1:13" ht="31.5">
      <c r="A270" s="244"/>
      <c r="B270" s="223"/>
      <c r="C270" s="242"/>
      <c r="D270" s="16" t="s">
        <v>215</v>
      </c>
      <c r="E270" s="16" t="s">
        <v>208</v>
      </c>
      <c r="F270" s="10" t="s">
        <v>13</v>
      </c>
      <c r="G270" s="21">
        <v>0</v>
      </c>
      <c r="H270" s="6" t="s">
        <v>10</v>
      </c>
      <c r="I270" s="8" t="s">
        <v>62</v>
      </c>
      <c r="J270" s="8" t="s">
        <v>95</v>
      </c>
      <c r="K270" s="11">
        <v>0</v>
      </c>
      <c r="L270" s="11">
        <v>600</v>
      </c>
      <c r="M270" s="11">
        <v>0</v>
      </c>
    </row>
    <row r="271" spans="1:13" ht="47.25">
      <c r="A271" s="244"/>
      <c r="B271" s="223"/>
      <c r="C271" s="242"/>
      <c r="D271" s="27" t="s">
        <v>216</v>
      </c>
      <c r="E271" s="134" t="s">
        <v>33</v>
      </c>
      <c r="F271" s="33" t="s">
        <v>13</v>
      </c>
      <c r="G271" s="48">
        <v>0</v>
      </c>
      <c r="H271" s="183" t="s">
        <v>10</v>
      </c>
      <c r="I271" s="182" t="s">
        <v>95</v>
      </c>
      <c r="J271" s="182" t="s">
        <v>8</v>
      </c>
      <c r="K271" s="135">
        <v>0</v>
      </c>
      <c r="L271" s="135">
        <v>0</v>
      </c>
      <c r="M271" s="135">
        <v>25000</v>
      </c>
    </row>
    <row r="272" spans="1:13" ht="47.25">
      <c r="A272" s="225" t="s">
        <v>63</v>
      </c>
      <c r="B272" s="220" t="s">
        <v>205</v>
      </c>
      <c r="C272" s="225" t="s">
        <v>72</v>
      </c>
      <c r="D272" s="16" t="s">
        <v>344</v>
      </c>
      <c r="E272" s="16" t="s">
        <v>33</v>
      </c>
      <c r="F272" s="10" t="s">
        <v>13</v>
      </c>
      <c r="G272" s="21">
        <v>3</v>
      </c>
      <c r="H272" s="6" t="s">
        <v>186</v>
      </c>
      <c r="I272" s="8" t="s">
        <v>8</v>
      </c>
      <c r="J272" s="8" t="s">
        <v>95</v>
      </c>
      <c r="K272" s="11">
        <v>0</v>
      </c>
      <c r="L272" s="11">
        <v>11000</v>
      </c>
      <c r="M272" s="11">
        <v>0</v>
      </c>
    </row>
    <row r="273" spans="1:13" ht="39.75" customHeight="1">
      <c r="A273" s="226"/>
      <c r="B273" s="221"/>
      <c r="C273" s="226"/>
      <c r="D273" s="16" t="s">
        <v>217</v>
      </c>
      <c r="E273" s="12" t="s">
        <v>15</v>
      </c>
      <c r="F273" s="10" t="s">
        <v>13</v>
      </c>
      <c r="G273" s="23">
        <v>0</v>
      </c>
      <c r="H273" s="6" t="s">
        <v>10</v>
      </c>
      <c r="I273" s="8" t="s">
        <v>62</v>
      </c>
      <c r="J273" s="8" t="s">
        <v>95</v>
      </c>
      <c r="K273" s="11">
        <v>0</v>
      </c>
      <c r="L273" s="11">
        <v>16642.810000000001</v>
      </c>
      <c r="M273" s="11">
        <v>0</v>
      </c>
    </row>
    <row r="274" spans="1:13" ht="141.75">
      <c r="A274" s="226"/>
      <c r="B274" s="221"/>
      <c r="C274" s="226"/>
      <c r="D274" s="16" t="s">
        <v>417</v>
      </c>
      <c r="E274" s="12" t="s">
        <v>33</v>
      </c>
      <c r="F274" s="10" t="s">
        <v>13</v>
      </c>
      <c r="G274" s="23">
        <v>1</v>
      </c>
      <c r="H274" s="6" t="s">
        <v>186</v>
      </c>
      <c r="I274" s="8" t="s">
        <v>95</v>
      </c>
      <c r="J274" s="8" t="s">
        <v>95</v>
      </c>
      <c r="K274" s="11">
        <v>3909.94</v>
      </c>
      <c r="L274" s="11">
        <v>0</v>
      </c>
      <c r="M274" s="11">
        <v>0</v>
      </c>
    </row>
    <row r="275" spans="1:13" ht="31.5">
      <c r="A275" s="226"/>
      <c r="B275" s="221"/>
      <c r="C275" s="226"/>
      <c r="D275" s="16" t="s">
        <v>418</v>
      </c>
      <c r="E275" s="12" t="s">
        <v>33</v>
      </c>
      <c r="F275" s="10" t="s">
        <v>13</v>
      </c>
      <c r="G275" s="23">
        <v>1</v>
      </c>
      <c r="H275" s="214" t="s">
        <v>186</v>
      </c>
      <c r="I275" s="215" t="s">
        <v>95</v>
      </c>
      <c r="J275" s="215" t="s">
        <v>95</v>
      </c>
      <c r="K275" s="11">
        <v>142.63</v>
      </c>
      <c r="L275" s="11">
        <v>0</v>
      </c>
      <c r="M275" s="11">
        <v>0</v>
      </c>
    </row>
    <row r="276" spans="1:13" ht="47.25" customHeight="1">
      <c r="A276" s="229"/>
      <c r="B276" s="222"/>
      <c r="C276" s="229"/>
      <c r="D276" s="12" t="s">
        <v>218</v>
      </c>
      <c r="E276" s="16" t="s">
        <v>16</v>
      </c>
      <c r="F276" s="10" t="s">
        <v>13</v>
      </c>
      <c r="G276" s="23">
        <v>0</v>
      </c>
      <c r="H276" s="6" t="s">
        <v>186</v>
      </c>
      <c r="I276" s="8" t="s">
        <v>95</v>
      </c>
      <c r="J276" s="8" t="s">
        <v>62</v>
      </c>
      <c r="K276" s="11">
        <v>0</v>
      </c>
      <c r="L276" s="11">
        <v>0</v>
      </c>
      <c r="M276" s="11">
        <f>12838.65</f>
        <v>12838.65</v>
      </c>
    </row>
    <row r="277" spans="1:13" ht="47.25" customHeight="1">
      <c r="A277" s="6" t="s">
        <v>63</v>
      </c>
      <c r="B277" s="142" t="s">
        <v>205</v>
      </c>
      <c r="C277" s="8" t="s">
        <v>139</v>
      </c>
      <c r="D277" s="16" t="s">
        <v>103</v>
      </c>
      <c r="E277" s="35" t="s">
        <v>112</v>
      </c>
      <c r="F277" s="10" t="s">
        <v>13</v>
      </c>
      <c r="G277" s="44">
        <v>0</v>
      </c>
      <c r="H277" s="6" t="s">
        <v>10</v>
      </c>
      <c r="I277" s="43">
        <v>0</v>
      </c>
      <c r="J277" s="8" t="s">
        <v>80</v>
      </c>
      <c r="K277" s="11">
        <v>0</v>
      </c>
      <c r="L277" s="11">
        <v>0</v>
      </c>
      <c r="M277" s="11">
        <v>1071.7</v>
      </c>
    </row>
    <row r="278" spans="1:13" ht="47.25" customHeight="1">
      <c r="A278" s="6" t="s">
        <v>63</v>
      </c>
      <c r="B278" s="142" t="s">
        <v>205</v>
      </c>
      <c r="C278" s="8" t="s">
        <v>139</v>
      </c>
      <c r="D278" s="16" t="s">
        <v>113</v>
      </c>
      <c r="E278" s="35" t="s">
        <v>112</v>
      </c>
      <c r="F278" s="10" t="s">
        <v>13</v>
      </c>
      <c r="G278" s="2">
        <v>0</v>
      </c>
      <c r="H278" s="6" t="s">
        <v>10</v>
      </c>
      <c r="I278" s="43">
        <v>9</v>
      </c>
      <c r="J278" s="20" t="s">
        <v>95</v>
      </c>
      <c r="K278" s="11">
        <v>0</v>
      </c>
      <c r="L278" s="11">
        <v>952.3</v>
      </c>
      <c r="M278" s="11">
        <v>0</v>
      </c>
    </row>
    <row r="279" spans="1:13" ht="94.5">
      <c r="A279" s="219" t="s">
        <v>77</v>
      </c>
      <c r="B279" s="224"/>
      <c r="C279" s="219"/>
      <c r="D279" s="239" t="s">
        <v>78</v>
      </c>
      <c r="E279" s="112" t="s">
        <v>79</v>
      </c>
      <c r="F279" s="113" t="s">
        <v>13</v>
      </c>
      <c r="G279" s="110" t="s">
        <v>105</v>
      </c>
      <c r="H279" s="121" t="s">
        <v>10</v>
      </c>
      <c r="I279" s="110" t="s">
        <v>105</v>
      </c>
      <c r="J279" s="152" t="s">
        <v>95</v>
      </c>
      <c r="K279" s="230">
        <f>K286+K288+K290+K292+K285</f>
        <v>2289.6</v>
      </c>
      <c r="L279" s="230">
        <f t="shared" ref="L279:M279" si="26">L286+L288+L290+L292+L285</f>
        <v>2729.6</v>
      </c>
      <c r="M279" s="230">
        <f t="shared" si="26"/>
        <v>1729.6</v>
      </c>
    </row>
    <row r="280" spans="1:13" ht="31.5">
      <c r="A280" s="219"/>
      <c r="B280" s="274"/>
      <c r="C280" s="219"/>
      <c r="D280" s="269"/>
      <c r="E280" s="103" t="s">
        <v>245</v>
      </c>
      <c r="F280" s="77" t="s">
        <v>13</v>
      </c>
      <c r="G280" s="111" t="s">
        <v>87</v>
      </c>
      <c r="H280" s="121" t="s">
        <v>10</v>
      </c>
      <c r="I280" s="111" t="s">
        <v>87</v>
      </c>
      <c r="J280" s="111" t="s">
        <v>87</v>
      </c>
      <c r="K280" s="231"/>
      <c r="L280" s="231"/>
      <c r="M280" s="231"/>
    </row>
    <row r="281" spans="1:13" ht="97.5" customHeight="1">
      <c r="A281" s="219"/>
      <c r="B281" s="274"/>
      <c r="C281" s="219"/>
      <c r="D281" s="269"/>
      <c r="E281" s="103" t="s">
        <v>246</v>
      </c>
      <c r="F281" s="77" t="s">
        <v>13</v>
      </c>
      <c r="G281" s="184" t="s">
        <v>80</v>
      </c>
      <c r="H281" s="121" t="s">
        <v>10</v>
      </c>
      <c r="I281" s="184" t="s">
        <v>80</v>
      </c>
      <c r="J281" s="184" t="s">
        <v>80</v>
      </c>
      <c r="K281" s="231"/>
      <c r="L281" s="231"/>
      <c r="M281" s="231"/>
    </row>
    <row r="282" spans="1:13" ht="31.5" customHeight="1">
      <c r="A282" s="219"/>
      <c r="B282" s="274"/>
      <c r="C282" s="219"/>
      <c r="D282" s="269"/>
      <c r="E282" s="103" t="s">
        <v>247</v>
      </c>
      <c r="F282" s="77" t="s">
        <v>13</v>
      </c>
      <c r="G282" s="111" t="s">
        <v>87</v>
      </c>
      <c r="H282" s="121" t="s">
        <v>10</v>
      </c>
      <c r="I282" s="111" t="s">
        <v>87</v>
      </c>
      <c r="J282" s="111" t="s">
        <v>87</v>
      </c>
      <c r="K282" s="231"/>
      <c r="L282" s="231"/>
      <c r="M282" s="231"/>
    </row>
    <row r="283" spans="1:13" ht="63">
      <c r="A283" s="219"/>
      <c r="B283" s="273"/>
      <c r="C283" s="219"/>
      <c r="D283" s="240"/>
      <c r="E283" s="103" t="s">
        <v>81</v>
      </c>
      <c r="F283" s="115" t="s">
        <v>30</v>
      </c>
      <c r="G283" s="110" t="s">
        <v>82</v>
      </c>
      <c r="H283" s="121" t="s">
        <v>10</v>
      </c>
      <c r="I283" s="110" t="s">
        <v>82</v>
      </c>
      <c r="J283" s="110" t="s">
        <v>82</v>
      </c>
      <c r="K283" s="232"/>
      <c r="L283" s="232"/>
      <c r="M283" s="232"/>
    </row>
    <row r="284" spans="1:13" ht="31.5">
      <c r="A284" s="97" t="s">
        <v>77</v>
      </c>
      <c r="B284" s="98" t="s">
        <v>249</v>
      </c>
      <c r="C284" s="95" t="s">
        <v>10</v>
      </c>
      <c r="D284" s="119" t="s">
        <v>248</v>
      </c>
      <c r="E284" s="118" t="s">
        <v>85</v>
      </c>
      <c r="F284" s="116" t="s">
        <v>13</v>
      </c>
      <c r="G284" s="116">
        <v>4</v>
      </c>
      <c r="H284" s="94" t="s">
        <v>10</v>
      </c>
      <c r="I284" s="94" t="s">
        <v>105</v>
      </c>
      <c r="J284" s="94" t="s">
        <v>95</v>
      </c>
      <c r="K284" s="91">
        <v>1000</v>
      </c>
      <c r="L284" s="91">
        <f>L285</f>
        <v>1000</v>
      </c>
      <c r="M284" s="91">
        <f>M285</f>
        <v>0</v>
      </c>
    </row>
    <row r="285" spans="1:13" ht="94.5">
      <c r="A285" s="6" t="s">
        <v>77</v>
      </c>
      <c r="B285" s="142" t="s">
        <v>249</v>
      </c>
      <c r="C285" s="8" t="s">
        <v>86</v>
      </c>
      <c r="D285" s="25" t="s">
        <v>84</v>
      </c>
      <c r="E285" s="12" t="s">
        <v>85</v>
      </c>
      <c r="F285" s="10" t="s">
        <v>13</v>
      </c>
      <c r="G285" s="10">
        <v>4</v>
      </c>
      <c r="H285" s="6" t="s">
        <v>186</v>
      </c>
      <c r="I285" s="8" t="s">
        <v>105</v>
      </c>
      <c r="J285" s="8" t="s">
        <v>95</v>
      </c>
      <c r="K285" s="11">
        <v>1000</v>
      </c>
      <c r="L285" s="11">
        <v>1000</v>
      </c>
      <c r="M285" s="11">
        <v>0</v>
      </c>
    </row>
    <row r="286" spans="1:13" ht="31.5">
      <c r="A286" s="97" t="s">
        <v>77</v>
      </c>
      <c r="B286" s="98" t="s">
        <v>251</v>
      </c>
      <c r="C286" s="97" t="s">
        <v>10</v>
      </c>
      <c r="D286" s="120" t="s">
        <v>250</v>
      </c>
      <c r="E286" s="118" t="s">
        <v>85</v>
      </c>
      <c r="F286" s="95" t="s">
        <v>13</v>
      </c>
      <c r="G286" s="95">
        <v>6</v>
      </c>
      <c r="H286" s="97" t="s">
        <v>10</v>
      </c>
      <c r="I286" s="97" t="s">
        <v>87</v>
      </c>
      <c r="J286" s="97" t="s">
        <v>87</v>
      </c>
      <c r="K286" s="91">
        <f>K287</f>
        <v>0</v>
      </c>
      <c r="L286" s="91">
        <v>440</v>
      </c>
      <c r="M286" s="91">
        <v>440</v>
      </c>
    </row>
    <row r="287" spans="1:13" ht="31.5">
      <c r="A287" s="6" t="s">
        <v>77</v>
      </c>
      <c r="B287" s="142" t="s">
        <v>251</v>
      </c>
      <c r="C287" s="8" t="s">
        <v>17</v>
      </c>
      <c r="D287" s="25" t="s">
        <v>88</v>
      </c>
      <c r="E287" s="7" t="s">
        <v>85</v>
      </c>
      <c r="F287" s="54" t="s">
        <v>13</v>
      </c>
      <c r="G287" s="19">
        <v>0</v>
      </c>
      <c r="H287" s="6" t="s">
        <v>10</v>
      </c>
      <c r="I287" s="8" t="s">
        <v>87</v>
      </c>
      <c r="J287" s="8" t="s">
        <v>87</v>
      </c>
      <c r="K287" s="11">
        <v>0</v>
      </c>
      <c r="L287" s="11">
        <v>440</v>
      </c>
      <c r="M287" s="11">
        <v>440</v>
      </c>
    </row>
    <row r="288" spans="1:13" s="117" customFormat="1" ht="31.5">
      <c r="A288" s="97" t="s">
        <v>77</v>
      </c>
      <c r="B288" s="98" t="s">
        <v>253</v>
      </c>
      <c r="C288" s="97" t="s">
        <v>10</v>
      </c>
      <c r="D288" s="90" t="s">
        <v>252</v>
      </c>
      <c r="E288" s="90" t="s">
        <v>89</v>
      </c>
      <c r="F288" s="95" t="s">
        <v>13</v>
      </c>
      <c r="G288" s="95">
        <v>5</v>
      </c>
      <c r="H288" s="97" t="s">
        <v>186</v>
      </c>
      <c r="I288" s="97" t="s">
        <v>80</v>
      </c>
      <c r="J288" s="97" t="s">
        <v>80</v>
      </c>
      <c r="K288" s="91">
        <f>K289</f>
        <v>500</v>
      </c>
      <c r="L288" s="91">
        <f t="shared" ref="L288:M288" si="27">L289</f>
        <v>500</v>
      </c>
      <c r="M288" s="91">
        <f t="shared" si="27"/>
        <v>500</v>
      </c>
    </row>
    <row r="289" spans="1:13" ht="47.25">
      <c r="A289" s="6" t="s">
        <v>77</v>
      </c>
      <c r="B289" s="142" t="s">
        <v>253</v>
      </c>
      <c r="C289" s="6" t="s">
        <v>17</v>
      </c>
      <c r="D289" s="25" t="s">
        <v>91</v>
      </c>
      <c r="E289" s="25" t="s">
        <v>89</v>
      </c>
      <c r="F289" s="54" t="s">
        <v>13</v>
      </c>
      <c r="G289" s="54">
        <v>5</v>
      </c>
      <c r="H289" s="6" t="s">
        <v>244</v>
      </c>
      <c r="I289" s="8" t="s">
        <v>80</v>
      </c>
      <c r="J289" s="8" t="s">
        <v>80</v>
      </c>
      <c r="K289" s="11">
        <v>500</v>
      </c>
      <c r="L289" s="11">
        <v>500</v>
      </c>
      <c r="M289" s="11">
        <v>500</v>
      </c>
    </row>
    <row r="290" spans="1:13" ht="31.5">
      <c r="A290" s="97" t="s">
        <v>77</v>
      </c>
      <c r="B290" s="98" t="s">
        <v>255</v>
      </c>
      <c r="C290" s="97" t="s">
        <v>10</v>
      </c>
      <c r="D290" s="90" t="s">
        <v>254</v>
      </c>
      <c r="E290" s="90" t="s">
        <v>89</v>
      </c>
      <c r="F290" s="95" t="s">
        <v>13</v>
      </c>
      <c r="G290" s="95">
        <v>6</v>
      </c>
      <c r="H290" s="97" t="s">
        <v>10</v>
      </c>
      <c r="I290" s="97" t="s">
        <v>87</v>
      </c>
      <c r="J290" s="97" t="s">
        <v>87</v>
      </c>
      <c r="K290" s="91">
        <v>420</v>
      </c>
      <c r="L290" s="91">
        <v>420</v>
      </c>
      <c r="M290" s="91">
        <v>420</v>
      </c>
    </row>
    <row r="291" spans="1:13" ht="47.25">
      <c r="A291" s="6" t="s">
        <v>77</v>
      </c>
      <c r="B291" s="142" t="s">
        <v>255</v>
      </c>
      <c r="C291" s="6" t="s">
        <v>17</v>
      </c>
      <c r="D291" s="25" t="s">
        <v>90</v>
      </c>
      <c r="E291" s="25" t="s">
        <v>89</v>
      </c>
      <c r="F291" s="54" t="s">
        <v>13</v>
      </c>
      <c r="G291" s="2">
        <v>6</v>
      </c>
      <c r="H291" s="6" t="s">
        <v>199</v>
      </c>
      <c r="I291" s="8" t="s">
        <v>87</v>
      </c>
      <c r="J291" s="8" t="s">
        <v>87</v>
      </c>
      <c r="K291" s="11">
        <v>420</v>
      </c>
      <c r="L291" s="11">
        <v>420</v>
      </c>
      <c r="M291" s="11">
        <v>420</v>
      </c>
    </row>
    <row r="292" spans="1:13" ht="31.5">
      <c r="A292" s="97" t="s">
        <v>63</v>
      </c>
      <c r="B292" s="98" t="s">
        <v>256</v>
      </c>
      <c r="C292" s="97" t="s">
        <v>17</v>
      </c>
      <c r="D292" s="90" t="s">
        <v>267</v>
      </c>
      <c r="E292" s="90" t="s">
        <v>92</v>
      </c>
      <c r="F292" s="95" t="s">
        <v>30</v>
      </c>
      <c r="G292" s="95">
        <v>28</v>
      </c>
      <c r="H292" s="97" t="s">
        <v>10</v>
      </c>
      <c r="I292" s="97" t="s">
        <v>82</v>
      </c>
      <c r="J292" s="97" t="s">
        <v>82</v>
      </c>
      <c r="K292" s="91">
        <v>369.6</v>
      </c>
      <c r="L292" s="91">
        <v>369.6</v>
      </c>
      <c r="M292" s="91">
        <v>369.6</v>
      </c>
    </row>
    <row r="293" spans="1:13" ht="47.25">
      <c r="A293" s="6" t="s">
        <v>77</v>
      </c>
      <c r="B293" s="142" t="s">
        <v>256</v>
      </c>
      <c r="C293" s="6" t="s">
        <v>17</v>
      </c>
      <c r="D293" s="24" t="s">
        <v>93</v>
      </c>
      <c r="E293" s="7" t="s">
        <v>92</v>
      </c>
      <c r="F293" s="2" t="s">
        <v>30</v>
      </c>
      <c r="G293" s="2">
        <v>28</v>
      </c>
      <c r="H293" s="218" t="s">
        <v>230</v>
      </c>
      <c r="I293" s="8" t="s">
        <v>82</v>
      </c>
      <c r="J293" s="8" t="s">
        <v>82</v>
      </c>
      <c r="K293" s="11">
        <v>369.6</v>
      </c>
      <c r="L293" s="11">
        <v>369.6</v>
      </c>
      <c r="M293" s="11">
        <v>369.6</v>
      </c>
    </row>
    <row r="294" spans="1:13">
      <c r="D294" s="192"/>
      <c r="E294" s="192"/>
    </row>
    <row r="295" spans="1:13">
      <c r="D295" s="45"/>
      <c r="E295" s="45"/>
    </row>
    <row r="296" spans="1:13" ht="15.75" customHeight="1">
      <c r="A296" s="276" t="s">
        <v>118</v>
      </c>
      <c r="B296" s="276"/>
      <c r="C296" s="276"/>
      <c r="D296" s="276"/>
      <c r="E296" s="191"/>
      <c r="F296" s="191"/>
    </row>
    <row r="297" spans="1:13">
      <c r="A297" s="45"/>
      <c r="B297" s="45"/>
      <c r="C297" s="163"/>
    </row>
    <row r="298" spans="1:13" ht="63.75" customHeight="1">
      <c r="A298" s="265" t="s">
        <v>421</v>
      </c>
      <c r="B298" s="265"/>
      <c r="C298" s="265"/>
      <c r="D298" s="265"/>
      <c r="E298" s="1" t="s">
        <v>422</v>
      </c>
    </row>
    <row r="300" spans="1:13" ht="33.75" customHeight="1">
      <c r="A300" s="265" t="s">
        <v>119</v>
      </c>
      <c r="B300" s="265"/>
      <c r="C300" s="191" t="s">
        <v>140</v>
      </c>
    </row>
    <row r="301" spans="1:13">
      <c r="C301" s="160" t="s">
        <v>141</v>
      </c>
      <c r="E301" s="13"/>
      <c r="F301" s="13"/>
      <c r="G301" s="13"/>
    </row>
    <row r="302" spans="1:13">
      <c r="E302" s="13"/>
      <c r="F302" s="13"/>
      <c r="G302" s="13"/>
    </row>
    <row r="304" spans="1:13">
      <c r="E304" s="13"/>
      <c r="F304" s="13"/>
      <c r="G304" s="13"/>
    </row>
    <row r="305" spans="5:7">
      <c r="E305" s="13"/>
      <c r="F305" s="13"/>
      <c r="G305" s="13"/>
    </row>
    <row r="306" spans="5:7">
      <c r="E306" s="13"/>
      <c r="F306" s="13"/>
      <c r="G306" s="13"/>
    </row>
    <row r="307" spans="5:7">
      <c r="E307" s="13"/>
      <c r="F307" s="13"/>
      <c r="G307" s="13"/>
    </row>
    <row r="308" spans="5:7">
      <c r="E308" s="13"/>
      <c r="F308" s="13"/>
      <c r="G308" s="13"/>
    </row>
    <row r="309" spans="5:7">
      <c r="E309" s="13"/>
      <c r="F309" s="13"/>
      <c r="G309" s="13"/>
    </row>
    <row r="310" spans="5:7">
      <c r="E310" s="13"/>
      <c r="F310" s="13"/>
      <c r="G310" s="13"/>
    </row>
    <row r="311" spans="5:7">
      <c r="E311" s="13"/>
      <c r="F311" s="13"/>
      <c r="G311" s="13"/>
    </row>
    <row r="312" spans="5:7">
      <c r="E312" s="13"/>
      <c r="F312" s="13"/>
      <c r="G312" s="13"/>
    </row>
    <row r="313" spans="5:7">
      <c r="E313" s="13"/>
      <c r="F313" s="13"/>
      <c r="G313" s="13"/>
    </row>
    <row r="314" spans="5:7">
      <c r="E314" s="13"/>
      <c r="F314" s="13"/>
      <c r="G314" s="13"/>
    </row>
    <row r="315" spans="5:7">
      <c r="E315" s="13"/>
      <c r="F315" s="13"/>
      <c r="G315" s="13"/>
    </row>
    <row r="316" spans="5:7">
      <c r="E316" s="13"/>
      <c r="F316" s="13"/>
      <c r="G316" s="13"/>
    </row>
    <row r="317" spans="5:7">
      <c r="E317" s="13"/>
      <c r="F317" s="13"/>
      <c r="G317" s="13"/>
    </row>
    <row r="318" spans="5:7">
      <c r="E318" s="13"/>
      <c r="F318" s="13"/>
      <c r="G318" s="13"/>
    </row>
    <row r="319" spans="5:7">
      <c r="E319" s="13"/>
      <c r="F319" s="13"/>
      <c r="G319" s="13"/>
    </row>
  </sheetData>
  <mergeCells count="139">
    <mergeCell ref="A296:D296"/>
    <mergeCell ref="A298:D298"/>
    <mergeCell ref="C279:C283"/>
    <mergeCell ref="A279:A283"/>
    <mergeCell ref="B279:B283"/>
    <mergeCell ref="C226:C234"/>
    <mergeCell ref="B226:B234"/>
    <mergeCell ref="A226:A234"/>
    <mergeCell ref="C247:C249"/>
    <mergeCell ref="B247:B249"/>
    <mergeCell ref="A247:A249"/>
    <mergeCell ref="C250:C256"/>
    <mergeCell ref="B250:B256"/>
    <mergeCell ref="A250:A256"/>
    <mergeCell ref="A239:A240"/>
    <mergeCell ref="B239:B240"/>
    <mergeCell ref="C239:C240"/>
    <mergeCell ref="C241:C246"/>
    <mergeCell ref="B241:B246"/>
    <mergeCell ref="A241:A246"/>
    <mergeCell ref="D279:D283"/>
    <mergeCell ref="C272:C276"/>
    <mergeCell ref="B272:B276"/>
    <mergeCell ref="A272:A276"/>
    <mergeCell ref="C142:C147"/>
    <mergeCell ref="B142:B147"/>
    <mergeCell ref="A142:A147"/>
    <mergeCell ref="C165:C179"/>
    <mergeCell ref="B165:B179"/>
    <mergeCell ref="A165:A179"/>
    <mergeCell ref="A84:A85"/>
    <mergeCell ref="B87:B115"/>
    <mergeCell ref="C87:C115"/>
    <mergeCell ref="C122:C129"/>
    <mergeCell ref="A87:A115"/>
    <mergeCell ref="B122:B129"/>
    <mergeCell ref="A122:A129"/>
    <mergeCell ref="C130:C135"/>
    <mergeCell ref="B130:B135"/>
    <mergeCell ref="A130:A135"/>
    <mergeCell ref="K81:K82"/>
    <mergeCell ref="B58:B59"/>
    <mergeCell ref="C58:C59"/>
    <mergeCell ref="B61:B65"/>
    <mergeCell ref="C61:C65"/>
    <mergeCell ref="B70:B80"/>
    <mergeCell ref="C70:C80"/>
    <mergeCell ref="B84:B85"/>
    <mergeCell ref="C84:C85"/>
    <mergeCell ref="M47:M50"/>
    <mergeCell ref="L12:L13"/>
    <mergeCell ref="M193:M195"/>
    <mergeCell ref="M81:M82"/>
    <mergeCell ref="L81:L82"/>
    <mergeCell ref="A300:B300"/>
    <mergeCell ref="B47:B50"/>
    <mergeCell ref="D193:D195"/>
    <mergeCell ref="D81:D82"/>
    <mergeCell ref="A47:A50"/>
    <mergeCell ref="D47:D50"/>
    <mergeCell ref="A81:A82"/>
    <mergeCell ref="B81:B82"/>
    <mergeCell ref="C81:C82"/>
    <mergeCell ref="C47:C50"/>
    <mergeCell ref="A23:A41"/>
    <mergeCell ref="B23:B41"/>
    <mergeCell ref="K47:K50"/>
    <mergeCell ref="L47:L50"/>
    <mergeCell ref="D138:D140"/>
    <mergeCell ref="M279:M283"/>
    <mergeCell ref="C180:C191"/>
    <mergeCell ref="B180:B191"/>
    <mergeCell ref="A180:A191"/>
    <mergeCell ref="J2:L3"/>
    <mergeCell ref="K12:K13"/>
    <mergeCell ref="A5:K5"/>
    <mergeCell ref="A7:A9"/>
    <mergeCell ref="B7:B9"/>
    <mergeCell ref="C7:C9"/>
    <mergeCell ref="D7:D9"/>
    <mergeCell ref="E7:J7"/>
    <mergeCell ref="K7:M8"/>
    <mergeCell ref="E8:E9"/>
    <mergeCell ref="F8:F9"/>
    <mergeCell ref="G8:H8"/>
    <mergeCell ref="M12:M13"/>
    <mergeCell ref="A12:A13"/>
    <mergeCell ref="D12:D13"/>
    <mergeCell ref="C12:C13"/>
    <mergeCell ref="B12:B13"/>
    <mergeCell ref="A4:M4"/>
    <mergeCell ref="K279:K283"/>
    <mergeCell ref="L279:L283"/>
    <mergeCell ref="M201:M202"/>
    <mergeCell ref="K138:K140"/>
    <mergeCell ref="L138:L140"/>
    <mergeCell ref="M138:M140"/>
    <mergeCell ref="L193:L195"/>
    <mergeCell ref="L201:L202"/>
    <mergeCell ref="A201:A202"/>
    <mergeCell ref="K201:K202"/>
    <mergeCell ref="K193:K195"/>
    <mergeCell ref="D201:D202"/>
    <mergeCell ref="C138:C140"/>
    <mergeCell ref="B138:B140"/>
    <mergeCell ref="A138:A140"/>
    <mergeCell ref="C148:C164"/>
    <mergeCell ref="B148:B164"/>
    <mergeCell ref="A257:A262"/>
    <mergeCell ref="B257:B262"/>
    <mergeCell ref="C257:C262"/>
    <mergeCell ref="C263:C271"/>
    <mergeCell ref="B263:B271"/>
    <mergeCell ref="A263:A271"/>
    <mergeCell ref="A148:A164"/>
    <mergeCell ref="A17:A18"/>
    <mergeCell ref="B17:B18"/>
    <mergeCell ref="C17:C18"/>
    <mergeCell ref="A20:A21"/>
    <mergeCell ref="B20:B21"/>
    <mergeCell ref="C20:C21"/>
    <mergeCell ref="A61:A65"/>
    <mergeCell ref="A58:A59"/>
    <mergeCell ref="A70:A80"/>
    <mergeCell ref="C23:C41"/>
    <mergeCell ref="A67:A68"/>
    <mergeCell ref="B67:B68"/>
    <mergeCell ref="C67:C68"/>
    <mergeCell ref="C193:C195"/>
    <mergeCell ref="B193:B195"/>
    <mergeCell ref="A193:A195"/>
    <mergeCell ref="A197:A199"/>
    <mergeCell ref="B197:B199"/>
    <mergeCell ref="C197:C199"/>
    <mergeCell ref="C201:C202"/>
    <mergeCell ref="B201:B202"/>
    <mergeCell ref="C235:C238"/>
    <mergeCell ref="B235:B238"/>
    <mergeCell ref="A235:A238"/>
  </mergeCells>
  <pageMargins left="0.78740157480314965" right="0.23622047244094491" top="0.39370078740157483" bottom="0.23622047244094491" header="0.31496062992125984" footer="0.31496062992125984"/>
  <pageSetup paperSize="9" scale="47" firstPageNumber="2" fitToHeight="0" orientation="landscape" useFirstPageNumber="1" horizontalDpi="300" r:id="rId1"/>
  <headerFooter>
    <oddHeader>&amp;C&amp;P</oddHeader>
  </headerFooter>
  <rowBreaks count="12" manualBreakCount="12">
    <brk id="40" max="12" man="1"/>
    <brk id="59" max="12" man="1"/>
    <brk id="80" max="12" man="1"/>
    <brk id="113" max="12" man="1"/>
    <brk id="137" max="12" man="1"/>
    <brk id="163" max="12" man="1"/>
    <brk id="188" max="12" man="1"/>
    <brk id="200" max="12" man="1"/>
    <brk id="228" max="12" man="1"/>
    <brk id="254" max="12" man="1"/>
    <brk id="266" max="12" man="1"/>
    <brk id="28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Бочковская Юлия Владимировна</dc:creator>
  <cp:lastModifiedBy>Бочковская Юлия Владимировна</cp:lastModifiedBy>
  <cp:lastPrinted>2024-01-10T07:21:07Z</cp:lastPrinted>
  <dcterms:created xsi:type="dcterms:W3CDTF">2022-01-11T08:29:11Z</dcterms:created>
  <dcterms:modified xsi:type="dcterms:W3CDTF">2024-01-10T07:43:53Z</dcterms:modified>
</cp:coreProperties>
</file>